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4860" yWindow="465" windowWidth="20730" windowHeight="11760"/>
  </bookViews>
  <sheets>
    <sheet name="Koszty pierwsze" sheetId="6" r:id="rId1"/>
    <sheet name="drobni wierzyciele w pierwszej " sheetId="3" state="hidden" r:id="rId2"/>
  </sheets>
  <calcPr calcId="15000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6" l="1"/>
  <c r="C28" i="6"/>
  <c r="D26" i="6"/>
  <c r="C41" i="6"/>
  <c r="D25" i="6"/>
  <c r="C45" i="6"/>
  <c r="C18" i="6"/>
  <c r="E8" i="6"/>
  <c r="F8" i="6"/>
  <c r="H8" i="6"/>
  <c r="E9" i="6"/>
  <c r="F9" i="6"/>
  <c r="H9" i="6"/>
  <c r="E10" i="6"/>
  <c r="F10" i="6"/>
  <c r="H10" i="6"/>
  <c r="E11" i="6"/>
  <c r="F11" i="6"/>
  <c r="H11" i="6"/>
  <c r="E12" i="6"/>
  <c r="F12" i="6"/>
  <c r="H12" i="6"/>
  <c r="E13" i="6"/>
  <c r="F13" i="6"/>
  <c r="H13" i="6"/>
  <c r="E14" i="6"/>
  <c r="F14" i="6"/>
  <c r="H14" i="6"/>
  <c r="E15" i="6"/>
  <c r="F15" i="6"/>
  <c r="H15" i="6"/>
  <c r="E16" i="6"/>
  <c r="F16" i="6"/>
  <c r="H16" i="6"/>
  <c r="E17" i="6"/>
  <c r="F17" i="6"/>
  <c r="H17" i="6"/>
  <c r="H18" i="6"/>
  <c r="J13" i="6"/>
  <c r="I15" i="6"/>
  <c r="C38" i="6"/>
  <c r="J17" i="6"/>
  <c r="K17" i="6"/>
  <c r="J40" i="6"/>
  <c r="J9" i="6"/>
  <c r="J10" i="6"/>
  <c r="J12" i="6"/>
  <c r="K12" i="6"/>
  <c r="J35" i="6"/>
  <c r="J14" i="6"/>
  <c r="J16" i="6"/>
  <c r="H20" i="6"/>
  <c r="I9" i="6"/>
  <c r="C32" i="6"/>
  <c r="I12" i="6"/>
  <c r="C35" i="6"/>
  <c r="I17" i="6"/>
  <c r="C40" i="6"/>
  <c r="F39" i="6"/>
  <c r="G17" i="6"/>
  <c r="G16" i="6"/>
  <c r="G15" i="6"/>
  <c r="G14" i="6"/>
  <c r="G13" i="6"/>
  <c r="G12" i="6"/>
  <c r="G11" i="6"/>
  <c r="G10" i="6"/>
  <c r="G9" i="6"/>
  <c r="G8" i="6"/>
  <c r="D17" i="6"/>
  <c r="D16" i="6"/>
  <c r="D15" i="6"/>
  <c r="D14" i="6"/>
  <c r="D13" i="6"/>
  <c r="D12" i="6"/>
  <c r="D11" i="6"/>
  <c r="D10" i="6"/>
  <c r="D9" i="6"/>
  <c r="D8" i="6"/>
  <c r="C44" i="6"/>
  <c r="H5" i="6"/>
  <c r="I6" i="6"/>
  <c r="G28" i="6"/>
  <c r="I20" i="6"/>
  <c r="K9" i="6"/>
  <c r="J32" i="6"/>
  <c r="B42" i="6"/>
  <c r="F42" i="6"/>
  <c r="F40" i="6"/>
  <c r="B40" i="6"/>
  <c r="B39" i="6"/>
  <c r="F38" i="6"/>
  <c r="B38" i="6"/>
  <c r="F37" i="6"/>
  <c r="B37" i="6"/>
  <c r="F36" i="6"/>
  <c r="B36" i="6"/>
  <c r="F35" i="6"/>
  <c r="B35" i="6"/>
  <c r="F34" i="6"/>
  <c r="B34" i="6"/>
  <c r="F33" i="6"/>
  <c r="B33" i="6"/>
  <c r="F32" i="6"/>
  <c r="B32" i="6"/>
  <c r="F31" i="6"/>
  <c r="E18" i="6"/>
  <c r="F18" i="6"/>
  <c r="F22" i="6"/>
  <c r="E22" i="6"/>
  <c r="C22" i="6"/>
  <c r="G18" i="6"/>
  <c r="D18" i="6"/>
  <c r="G20" i="3"/>
  <c r="R20" i="3"/>
  <c r="S20" i="3"/>
  <c r="T20" i="3"/>
  <c r="F38" i="3"/>
  <c r="F25" i="3"/>
  <c r="G38" i="3"/>
  <c r="H38" i="3"/>
  <c r="C38" i="3"/>
  <c r="G39" i="3"/>
  <c r="I20" i="3"/>
  <c r="J20" i="3"/>
  <c r="L20" i="3"/>
  <c r="M20" i="3"/>
  <c r="O21" i="3"/>
  <c r="R21" i="3"/>
  <c r="S8" i="3"/>
  <c r="S9" i="3"/>
  <c r="S12" i="3"/>
  <c r="S13" i="3"/>
  <c r="S15" i="3"/>
  <c r="S17" i="3"/>
  <c r="G10" i="3"/>
  <c r="S10" i="3"/>
  <c r="G11" i="3"/>
  <c r="S11" i="3"/>
  <c r="G14" i="3"/>
  <c r="S14" i="3"/>
  <c r="G16" i="3"/>
  <c r="S16" i="3"/>
  <c r="S18" i="3"/>
  <c r="T8" i="3"/>
  <c r="T9" i="3"/>
  <c r="T10" i="3"/>
  <c r="T11" i="3"/>
  <c r="T12" i="3"/>
  <c r="T13" i="3"/>
  <c r="T14" i="3"/>
  <c r="T15" i="3"/>
  <c r="T16" i="3"/>
  <c r="T17" i="3"/>
  <c r="T22" i="3"/>
  <c r="R22" i="3"/>
  <c r="J22" i="3"/>
  <c r="G8" i="3"/>
  <c r="K8" i="3"/>
  <c r="G9" i="3"/>
  <c r="K9" i="3"/>
  <c r="K10" i="3"/>
  <c r="K11" i="3"/>
  <c r="G12" i="3"/>
  <c r="K12" i="3"/>
  <c r="G13" i="3"/>
  <c r="K13" i="3"/>
  <c r="K14" i="3"/>
  <c r="G15" i="3"/>
  <c r="K15" i="3"/>
  <c r="K16" i="3"/>
  <c r="G17" i="3"/>
  <c r="K17" i="3"/>
  <c r="K18" i="3"/>
  <c r="K22" i="3"/>
  <c r="L8" i="3"/>
  <c r="P8" i="3"/>
  <c r="L9" i="3"/>
  <c r="P9" i="3"/>
  <c r="L10" i="3"/>
  <c r="P10" i="3"/>
  <c r="L11" i="3"/>
  <c r="P11" i="3"/>
  <c r="L12" i="3"/>
  <c r="P12" i="3"/>
  <c r="L13" i="3"/>
  <c r="P13" i="3"/>
  <c r="L14" i="3"/>
  <c r="P14" i="3"/>
  <c r="L15" i="3"/>
  <c r="P15" i="3"/>
  <c r="L16" i="3"/>
  <c r="P16" i="3"/>
  <c r="L17" i="3"/>
  <c r="P17" i="3"/>
  <c r="P18" i="3"/>
  <c r="P20" i="3"/>
  <c r="P22" i="3"/>
  <c r="L18" i="3"/>
  <c r="M18" i="3"/>
  <c r="M22" i="3"/>
  <c r="L22" i="3"/>
  <c r="G18" i="3"/>
  <c r="G22" i="3"/>
  <c r="C18" i="3"/>
  <c r="C22" i="3"/>
  <c r="O20" i="3"/>
  <c r="F37" i="3"/>
  <c r="F36" i="3"/>
  <c r="F35" i="3"/>
  <c r="F34" i="3"/>
  <c r="F33" i="3"/>
  <c r="F32" i="3"/>
  <c r="F31" i="3"/>
  <c r="F30" i="3"/>
  <c r="F29" i="3"/>
  <c r="F28" i="3"/>
  <c r="F39" i="3"/>
  <c r="E37" i="3"/>
  <c r="E36" i="3"/>
  <c r="E35" i="3"/>
  <c r="E34" i="3"/>
  <c r="E33" i="3"/>
  <c r="E32" i="3"/>
  <c r="E31" i="3"/>
  <c r="E30" i="3"/>
  <c r="E29" i="3"/>
  <c r="E28" i="3"/>
  <c r="B37" i="3"/>
  <c r="B36" i="3"/>
  <c r="B35" i="3"/>
  <c r="B34" i="3"/>
  <c r="B33" i="3"/>
  <c r="B32" i="3"/>
  <c r="B31" i="3"/>
  <c r="B30" i="3"/>
  <c r="B29" i="3"/>
  <c r="B28" i="3"/>
  <c r="C37" i="3"/>
  <c r="C36" i="3"/>
  <c r="C35" i="3"/>
  <c r="C34" i="3"/>
  <c r="C33" i="3"/>
  <c r="C32" i="3"/>
  <c r="C31" i="3"/>
  <c r="C30" i="3"/>
  <c r="C29" i="3"/>
  <c r="C28" i="3"/>
  <c r="C39" i="3"/>
  <c r="B39" i="3"/>
  <c r="N20" i="3"/>
  <c r="O18" i="3"/>
  <c r="N18" i="3"/>
  <c r="H18" i="3"/>
  <c r="I18" i="3"/>
  <c r="Q17" i="3"/>
  <c r="M17" i="3"/>
  <c r="O17" i="3"/>
  <c r="N17" i="3"/>
  <c r="H17" i="3"/>
  <c r="I17" i="3"/>
  <c r="Q16" i="3"/>
  <c r="M16" i="3"/>
  <c r="O16" i="3"/>
  <c r="N16" i="3"/>
  <c r="H16" i="3"/>
  <c r="I16" i="3"/>
  <c r="Q15" i="3"/>
  <c r="M15" i="3"/>
  <c r="O15" i="3"/>
  <c r="N15" i="3"/>
  <c r="H15" i="3"/>
  <c r="I15" i="3"/>
  <c r="Q14" i="3"/>
  <c r="M14" i="3"/>
  <c r="O14" i="3"/>
  <c r="N14" i="3"/>
  <c r="H14" i="3"/>
  <c r="I14" i="3"/>
  <c r="Q13" i="3"/>
  <c r="M13" i="3"/>
  <c r="O13" i="3"/>
  <c r="N13" i="3"/>
  <c r="H13" i="3"/>
  <c r="I13" i="3"/>
  <c r="Q12" i="3"/>
  <c r="M12" i="3"/>
  <c r="O12" i="3"/>
  <c r="N12" i="3"/>
  <c r="H12" i="3"/>
  <c r="I12" i="3"/>
  <c r="Q11" i="3"/>
  <c r="M11" i="3"/>
  <c r="O11" i="3"/>
  <c r="N11" i="3"/>
  <c r="H11" i="3"/>
  <c r="I11" i="3"/>
  <c r="Q10" i="3"/>
  <c r="M10" i="3"/>
  <c r="O10" i="3"/>
  <c r="N10" i="3"/>
  <c r="H10" i="3"/>
  <c r="I10" i="3"/>
  <c r="Q9" i="3"/>
  <c r="M9" i="3"/>
  <c r="O9" i="3"/>
  <c r="N9" i="3"/>
  <c r="H9" i="3"/>
  <c r="I9" i="3"/>
  <c r="Q8" i="3"/>
  <c r="M8" i="3"/>
  <c r="O8" i="3"/>
  <c r="N8" i="3"/>
  <c r="H8" i="3"/>
  <c r="I8" i="3"/>
  <c r="H22" i="6"/>
  <c r="J8" i="6"/>
  <c r="J15" i="6"/>
  <c r="K15" i="6"/>
  <c r="J38" i="6"/>
  <c r="J11" i="6"/>
  <c r="J18" i="6"/>
  <c r="K10" i="6"/>
  <c r="J33" i="6"/>
  <c r="K14" i="6"/>
  <c r="J37" i="6"/>
  <c r="I13" i="6"/>
  <c r="C36" i="6"/>
  <c r="I14" i="6"/>
  <c r="C37" i="6"/>
  <c r="I16" i="6"/>
  <c r="C39" i="6"/>
  <c r="K16" i="6"/>
  <c r="J39" i="6"/>
  <c r="I10" i="6"/>
  <c r="C33" i="6"/>
  <c r="K13" i="6"/>
  <c r="J36" i="6"/>
  <c r="I11" i="6"/>
  <c r="C34" i="6"/>
  <c r="K11" i="6"/>
  <c r="J34" i="6"/>
  <c r="I8" i="6"/>
  <c r="K8" i="6"/>
  <c r="C31" i="6"/>
  <c r="I18" i="6"/>
  <c r="I22" i="6"/>
  <c r="J31" i="6"/>
  <c r="J42" i="6"/>
  <c r="K22" i="6"/>
  <c r="B31" i="6"/>
  <c r="C42" i="6"/>
</calcChain>
</file>

<file path=xl/sharedStrings.xml><?xml version="1.0" encoding="utf-8"?>
<sst xmlns="http://schemas.openxmlformats.org/spreadsheetml/2006/main" count="88" uniqueCount="62">
  <si>
    <t>B</t>
  </si>
  <si>
    <t>C</t>
  </si>
  <si>
    <t>D</t>
  </si>
  <si>
    <t>Wierzyciele</t>
  </si>
  <si>
    <t>Nazwa</t>
  </si>
  <si>
    <t>Wartość wierzytelności ujęta na liście wierzytelności</t>
  </si>
  <si>
    <t>Koszty i zobowiązania masy niepokryte w toku postępowania</t>
  </si>
  <si>
    <t>RAZEM</t>
  </si>
  <si>
    <t>Minimum</t>
  </si>
  <si>
    <t>Plan podziału 1</t>
  </si>
  <si>
    <t>Plan podziału 2</t>
  </si>
  <si>
    <t>Plan podziału 3</t>
  </si>
  <si>
    <t>Kwota należna wierzycielowi po wykonaniu planów podziału</t>
  </si>
  <si>
    <t>Wartość wierzytelności spłacanych proporcjonalnie</t>
  </si>
  <si>
    <t>Kwota</t>
  </si>
  <si>
    <t>E</t>
  </si>
  <si>
    <t>F</t>
  </si>
  <si>
    <t>G</t>
  </si>
  <si>
    <t>H</t>
  </si>
  <si>
    <t>I</t>
  </si>
  <si>
    <t>J</t>
  </si>
  <si>
    <t>Razem</t>
  </si>
  <si>
    <t>Wierzyciel</t>
  </si>
  <si>
    <t>Łączna kwota do spłaty dla danego wierzyciela</t>
  </si>
  <si>
    <t>Liczba rat</t>
  </si>
  <si>
    <t>Test</t>
  </si>
  <si>
    <t>Obliczenie proporcjonalnej kwoty dla wierzyciela</t>
  </si>
  <si>
    <t>Kwota raty do zapłaty dla każdego wierzyciela</t>
  </si>
  <si>
    <t>Rat pełnych</t>
  </si>
  <si>
    <t>w kwocie</t>
  </si>
  <si>
    <r>
      <t xml:space="preserve">Procent zaspokojenia ratą </t>
    </r>
    <r>
      <rPr>
        <b/>
        <sz val="11"/>
        <color rgb="FFFF0000"/>
        <rFont val="Calibri"/>
        <family val="2"/>
        <charset val="238"/>
        <scheme val="minor"/>
      </rPr>
      <t>po zakorągleniu</t>
    </r>
  </si>
  <si>
    <t>Skarb Państwa</t>
  </si>
  <si>
    <t>Kowalski</t>
  </si>
  <si>
    <t>Całkowity procent zaspokojenia</t>
  </si>
  <si>
    <t xml:space="preserve">jednarozowa spłata </t>
  </si>
  <si>
    <t>Jednorazowa pierwsza rata</t>
  </si>
  <si>
    <t>Drugi plan splaty -pozostałe raty</t>
  </si>
  <si>
    <t>Jednorazowa piwersza rata</t>
  </si>
  <si>
    <t>Pozostałe raty</t>
  </si>
  <si>
    <t>Kwota przeznaczona na spłaty ok.</t>
  </si>
  <si>
    <t>Jan Kowalski</t>
  </si>
  <si>
    <t>TEST KOSZTÓW</t>
  </si>
  <si>
    <t>Plan spłaty kolejne</t>
  </si>
  <si>
    <t>Krzysztof Nowak</t>
  </si>
  <si>
    <t>rat/raty</t>
  </si>
  <si>
    <t xml:space="preserve"> rata</t>
  </si>
  <si>
    <t>Plan Spłaty</t>
  </si>
  <si>
    <t>rata</t>
  </si>
  <si>
    <t>Wierzyciele spłacani równomiernie</t>
  </si>
  <si>
    <t>raty</t>
  </si>
  <si>
    <t>Wysokość jednej raty</t>
  </si>
  <si>
    <t>Zobowiązania uznane na liście wierzytelności, niewykonane w toku postępowania na podstawie planów podziału</t>
  </si>
  <si>
    <t>Wysokość jednej raty dla wierzyciela</t>
  </si>
  <si>
    <r>
      <t xml:space="preserve">Procent zaspokojenia wierzytelności jedną ratą </t>
    </r>
    <r>
      <rPr>
        <b/>
        <sz val="10"/>
        <color rgb="FFFF0000"/>
        <rFont val="Calibri"/>
        <family val="2"/>
        <charset val="238"/>
        <scheme val="minor"/>
      </rPr>
      <t>po zaokrągleniu</t>
    </r>
  </si>
  <si>
    <t>Całkowity procent zaspokojenia wierzytelności w wyniku wykonania planu spłaty</t>
  </si>
  <si>
    <t>Maksymalna wysokość wartości wierzytelności, która zostanie spłacona jednorazowo w całości w ramach pierwszej raty</t>
  </si>
  <si>
    <t>Wartość wierzytelności, która zostanie spłacona w wyniku wykonania planu spłaty</t>
  </si>
  <si>
    <t>Kwota spłacanych kosztów</t>
  </si>
  <si>
    <t xml:space="preserve">Koszty pozostałe do spłaty </t>
  </si>
  <si>
    <t>Kwota, która wpłynęła do masy po wykonaniu planu podziału</t>
  </si>
  <si>
    <t>e</t>
  </si>
  <si>
    <t>Skarb Państwa Sąd Rejonowy 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</si>
</sst>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 * #,##0.00_)\ _z_ł_ ;_ * \(#,##0.00\)\ _z_ł_ ;_ * &quot;-&quot;??_)\ _z_ł_ ;_ @_ 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2">
    <xf numFmtId="0" fontId="0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2" fillId="0" borderId="0" applyFont="0" applyFill="0" applyBorder="0" applyAlignment="0" applyProtection="0"/>
  </cellStyleXfs>
  <cellXfs count="175">
    <xf numFmtId="0" fontId="0" fillId="0" borderId="0" xfId="0"/>
    <xf numFmtId="0" fontId="0" fillId="0" borderId="4" xfId="0" applyFont="1" applyBorder="1"/>
    <xf numFmtId="0" fontId="1" fillId="0" borderId="0" xfId="0" applyFont="1"/>
    <xf numFmtId="0" fontId="1" fillId="0" borderId="0" xfId="0" applyFont="1" applyAlignment="1">
      <alignment horizontal="left"/>
    </xf>
    <xf numFmtId="9" fontId="1" fillId="0" borderId="0" xfId="2" applyFont="1"/>
    <xf numFmtId="0" fontId="3" fillId="3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4" xfId="0" applyFont="1" applyFill="1" applyBorder="1"/>
    <xf numFmtId="164" fontId="1" fillId="2" borderId="1" xfId="1" applyFont="1" applyFill="1" applyBorder="1" applyAlignment="1">
      <alignment wrapText="1"/>
    </xf>
    <xf numFmtId="164" fontId="3" fillId="2" borderId="1" xfId="1" applyFont="1" applyFill="1" applyBorder="1" applyAlignment="1">
      <alignment wrapText="1"/>
    </xf>
    <xf numFmtId="164" fontId="0" fillId="0" borderId="1" xfId="1" applyFont="1" applyBorder="1"/>
    <xf numFmtId="164" fontId="3" fillId="2" borderId="1" xfId="1" applyFont="1" applyFill="1" applyBorder="1"/>
    <xf numFmtId="164" fontId="0" fillId="0" borderId="10" xfId="1" applyFont="1" applyBorder="1"/>
    <xf numFmtId="0" fontId="1" fillId="3" borderId="6" xfId="0" applyFont="1" applyFill="1" applyBorder="1"/>
    <xf numFmtId="164" fontId="3" fillId="3" borderId="7" xfId="1" applyFont="1" applyFill="1" applyBorder="1" applyAlignment="1">
      <alignment wrapText="1"/>
    </xf>
    <xf numFmtId="164" fontId="3" fillId="3" borderId="11" xfId="1" applyFont="1" applyFill="1" applyBorder="1" applyAlignment="1">
      <alignment wrapText="1"/>
    </xf>
    <xf numFmtId="164" fontId="1" fillId="0" borderId="0" xfId="0" applyNumberFormat="1" applyFont="1"/>
    <xf numFmtId="164" fontId="0" fillId="4" borderId="1" xfId="1" applyFont="1" applyFill="1" applyBorder="1"/>
    <xf numFmtId="0" fontId="1" fillId="3" borderId="14" xfId="0" applyFont="1" applyFill="1" applyBorder="1"/>
    <xf numFmtId="164" fontId="0" fillId="0" borderId="1" xfId="1" applyFont="1" applyFill="1" applyBorder="1" applyAlignment="1">
      <alignment wrapText="1"/>
    </xf>
    <xf numFmtId="0" fontId="0" fillId="0" borderId="4" xfId="0" applyFont="1" applyBorder="1" applyAlignment="1">
      <alignment wrapText="1"/>
    </xf>
    <xf numFmtId="164" fontId="1" fillId="3" borderId="14" xfId="0" applyNumberFormat="1" applyFont="1" applyFill="1" applyBorder="1"/>
    <xf numFmtId="164" fontId="0" fillId="4" borderId="0" xfId="0" applyNumberFormat="1" applyFill="1"/>
    <xf numFmtId="164" fontId="0" fillId="4" borderId="10" xfId="1" applyFont="1" applyFill="1" applyBorder="1"/>
    <xf numFmtId="164" fontId="2" fillId="4" borderId="10" xfId="1" applyFont="1" applyFill="1" applyBorder="1" applyAlignment="1">
      <alignment wrapText="1"/>
    </xf>
    <xf numFmtId="0" fontId="0" fillId="4" borderId="10" xfId="0" applyFill="1" applyBorder="1" applyAlignment="1">
      <alignment horizontal="center" vertical="center" wrapText="1"/>
    </xf>
    <xf numFmtId="0" fontId="1" fillId="0" borderId="1" xfId="0" applyFont="1" applyFill="1" applyBorder="1"/>
    <xf numFmtId="0" fontId="3" fillId="3" borderId="18" xfId="0" applyFont="1" applyFill="1" applyBorder="1" applyAlignment="1">
      <alignment horizontal="center" vertical="center"/>
    </xf>
    <xf numFmtId="0" fontId="0" fillId="0" borderId="4" xfId="0" applyBorder="1"/>
    <xf numFmtId="164" fontId="0" fillId="0" borderId="5" xfId="0" applyNumberFormat="1" applyBorder="1"/>
    <xf numFmtId="0" fontId="0" fillId="4" borderId="16" xfId="0" applyFill="1" applyBorder="1" applyAlignment="1">
      <alignment horizontal="center"/>
    </xf>
    <xf numFmtId="164" fontId="1" fillId="3" borderId="7" xfId="0" applyNumberFormat="1" applyFont="1" applyFill="1" applyBorder="1"/>
    <xf numFmtId="0" fontId="0" fillId="4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1" fillId="3" borderId="22" xfId="0" applyFont="1" applyFill="1" applyBorder="1" applyAlignment="1">
      <alignment horizontal="center" wrapText="1"/>
    </xf>
    <xf numFmtId="0" fontId="3" fillId="2" borderId="6" xfId="0" applyFont="1" applyFill="1" applyBorder="1"/>
    <xf numFmtId="164" fontId="3" fillId="2" borderId="19" xfId="1" applyFont="1" applyFill="1" applyBorder="1"/>
    <xf numFmtId="0" fontId="3" fillId="3" borderId="2" xfId="0" applyFont="1" applyFill="1" applyBorder="1" applyAlignment="1">
      <alignment horizontal="center" vertical="center"/>
    </xf>
    <xf numFmtId="164" fontId="3" fillId="2" borderId="10" xfId="1" applyFont="1" applyFill="1" applyBorder="1"/>
    <xf numFmtId="164" fontId="3" fillId="2" borderId="0" xfId="1" applyFont="1" applyFill="1" applyBorder="1" applyAlignment="1">
      <alignment wrapText="1"/>
    </xf>
    <xf numFmtId="164" fontId="3" fillId="2" borderId="10" xfId="1" applyFont="1" applyFill="1" applyBorder="1" applyAlignment="1">
      <alignment wrapText="1"/>
    </xf>
    <xf numFmtId="164" fontId="1" fillId="2" borderId="10" xfId="1" applyFont="1" applyFill="1" applyBorder="1" applyAlignment="1">
      <alignment wrapText="1"/>
    </xf>
    <xf numFmtId="10" fontId="3" fillId="2" borderId="1" xfId="2" applyNumberFormat="1" applyFont="1" applyFill="1" applyBorder="1" applyAlignment="1">
      <alignment wrapText="1"/>
    </xf>
    <xf numFmtId="43" fontId="0" fillId="0" borderId="0" xfId="0" applyNumberFormat="1"/>
    <xf numFmtId="44" fontId="1" fillId="0" borderId="1" xfId="11" applyFont="1" applyFill="1" applyBorder="1"/>
    <xf numFmtId="9" fontId="0" fillId="4" borderId="9" xfId="2" applyFont="1" applyFill="1" applyBorder="1"/>
    <xf numFmtId="44" fontId="0" fillId="4" borderId="1" xfId="11" applyFont="1" applyFill="1" applyBorder="1"/>
    <xf numFmtId="44" fontId="3" fillId="2" borderId="1" xfId="11" applyFont="1" applyFill="1" applyBorder="1" applyAlignment="1">
      <alignment wrapText="1"/>
    </xf>
    <xf numFmtId="44" fontId="1" fillId="3" borderId="7" xfId="11" applyFont="1" applyFill="1" applyBorder="1"/>
    <xf numFmtId="44" fontId="3" fillId="2" borderId="0" xfId="11" applyFont="1" applyFill="1" applyBorder="1" applyAlignment="1">
      <alignment wrapText="1"/>
    </xf>
    <xf numFmtId="44" fontId="0" fillId="4" borderId="0" xfId="11" applyFont="1" applyFill="1"/>
    <xf numFmtId="44" fontId="1" fillId="3" borderId="14" xfId="11" applyFont="1" applyFill="1" applyBorder="1"/>
    <xf numFmtId="44" fontId="0" fillId="5" borderId="15" xfId="11" applyFont="1" applyFill="1" applyBorder="1" applyAlignment="1">
      <alignment horizontal="center"/>
    </xf>
    <xf numFmtId="164" fontId="0" fillId="5" borderId="1" xfId="1" applyFont="1" applyFill="1" applyBorder="1"/>
    <xf numFmtId="44" fontId="0" fillId="5" borderId="1" xfId="11" applyFont="1" applyFill="1" applyBorder="1"/>
    <xf numFmtId="44" fontId="0" fillId="5" borderId="15" xfId="0" applyNumberFormat="1" applyFill="1" applyBorder="1" applyAlignment="1">
      <alignment horizont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44" fontId="3" fillId="6" borderId="20" xfId="11" applyFont="1" applyFill="1" applyBorder="1" applyAlignment="1">
      <alignment horizontal="center" vertical="center" wrapText="1"/>
    </xf>
    <xf numFmtId="44" fontId="0" fillId="0" borderId="0" xfId="0" applyNumberFormat="1"/>
    <xf numFmtId="0" fontId="0" fillId="0" borderId="26" xfId="0" applyFont="1" applyBorder="1" applyAlignment="1">
      <alignment wrapText="1"/>
    </xf>
    <xf numFmtId="164" fontId="0" fillId="0" borderId="27" xfId="1" applyFont="1" applyBorder="1"/>
    <xf numFmtId="0" fontId="0" fillId="4" borderId="27" xfId="0" applyFill="1" applyBorder="1" applyAlignment="1">
      <alignment horizontal="center" vertical="center" wrapText="1"/>
    </xf>
    <xf numFmtId="164" fontId="0" fillId="4" borderId="28" xfId="1" applyFont="1" applyFill="1" applyBorder="1"/>
    <xf numFmtId="44" fontId="0" fillId="4" borderId="10" xfId="11" applyFont="1" applyFill="1" applyBorder="1"/>
    <xf numFmtId="9" fontId="0" fillId="4" borderId="29" xfId="2" applyFont="1" applyFill="1" applyBorder="1"/>
    <xf numFmtId="0" fontId="0" fillId="4" borderId="31" xfId="0" applyFill="1" applyBorder="1" applyAlignment="1">
      <alignment horizontal="center"/>
    </xf>
    <xf numFmtId="44" fontId="0" fillId="5" borderId="30" xfId="0" applyNumberFormat="1" applyFill="1" applyBorder="1" applyAlignment="1">
      <alignment horizontal="center"/>
    </xf>
    <xf numFmtId="44" fontId="0" fillId="5" borderId="30" xfId="11" applyFont="1" applyFill="1" applyBorder="1" applyAlignment="1">
      <alignment horizontal="center"/>
    </xf>
    <xf numFmtId="8" fontId="0" fillId="4" borderId="30" xfId="0" applyNumberFormat="1" applyFill="1" applyBorder="1" applyAlignment="1">
      <alignment horizontal="center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44" fontId="3" fillId="3" borderId="7" xfId="11" applyFont="1" applyFill="1" applyBorder="1" applyAlignment="1">
      <alignment wrapText="1"/>
    </xf>
    <xf numFmtId="44" fontId="3" fillId="2" borderId="19" xfId="11" applyFont="1" applyFill="1" applyBorder="1"/>
    <xf numFmtId="0" fontId="0" fillId="3" borderId="2" xfId="0" applyFill="1" applyBorder="1"/>
    <xf numFmtId="9" fontId="0" fillId="8" borderId="18" xfId="2" applyFont="1" applyFill="1" applyBorder="1" applyAlignment="1">
      <alignment wrapText="1"/>
    </xf>
    <xf numFmtId="0" fontId="0" fillId="3" borderId="6" xfId="0" applyFill="1" applyBorder="1"/>
    <xf numFmtId="0" fontId="1" fillId="3" borderId="0" xfId="0" applyFont="1" applyFill="1"/>
    <xf numFmtId="0" fontId="0" fillId="0" borderId="0" xfId="0" applyBorder="1"/>
    <xf numFmtId="164" fontId="0" fillId="0" borderId="0" xfId="0" applyNumberFormat="1" applyBorder="1"/>
    <xf numFmtId="0" fontId="0" fillId="5" borderId="4" xfId="0" applyFill="1" applyBorder="1"/>
    <xf numFmtId="0" fontId="0" fillId="5" borderId="1" xfId="0" applyFill="1" applyBorder="1"/>
    <xf numFmtId="164" fontId="0" fillId="5" borderId="5" xfId="0" applyNumberFormat="1" applyFill="1" applyBorder="1"/>
    <xf numFmtId="0" fontId="0" fillId="5" borderId="6" xfId="0" applyFill="1" applyBorder="1"/>
    <xf numFmtId="0" fontId="0" fillId="5" borderId="7" xfId="0" applyFill="1" applyBorder="1"/>
    <xf numFmtId="164" fontId="0" fillId="5" borderId="19" xfId="0" applyNumberFormat="1" applyFill="1" applyBorder="1"/>
    <xf numFmtId="0" fontId="3" fillId="3" borderId="2" xfId="0" applyFont="1" applyFill="1" applyBorder="1" applyAlignment="1">
      <alignment horizontal="center" vertical="center"/>
    </xf>
    <xf numFmtId="0" fontId="3" fillId="10" borderId="4" xfId="0" applyFont="1" applyFill="1" applyBorder="1"/>
    <xf numFmtId="44" fontId="3" fillId="10" borderId="1" xfId="11" applyFont="1" applyFill="1" applyBorder="1" applyAlignment="1">
      <alignment wrapText="1"/>
    </xf>
    <xf numFmtId="10" fontId="3" fillId="10" borderId="1" xfId="2" applyNumberFormat="1" applyFont="1" applyFill="1" applyBorder="1" applyAlignment="1">
      <alignment wrapText="1"/>
    </xf>
    <xf numFmtId="44" fontId="1" fillId="10" borderId="1" xfId="11" applyFont="1" applyFill="1" applyBorder="1"/>
    <xf numFmtId="44" fontId="1" fillId="0" borderId="1" xfId="1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44" fontId="0" fillId="7" borderId="1" xfId="11" applyFont="1" applyFill="1" applyBorder="1" applyProtection="1">
      <protection locked="0"/>
    </xf>
    <xf numFmtId="0" fontId="0" fillId="0" borderId="4" xfId="0" applyBorder="1" applyProtection="1">
      <protection locked="0"/>
    </xf>
    <xf numFmtId="44" fontId="0" fillId="0" borderId="5" xfId="11" applyNumberFormat="1" applyFont="1" applyBorder="1" applyProtection="1">
      <protection locked="0"/>
    </xf>
    <xf numFmtId="8" fontId="0" fillId="0" borderId="5" xfId="11" applyNumberFormat="1" applyFont="1" applyBorder="1" applyProtection="1">
      <protection locked="0"/>
    </xf>
    <xf numFmtId="44" fontId="0" fillId="3" borderId="19" xfId="0" applyNumberForma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0" fillId="7" borderId="4" xfId="0" applyFont="1" applyFill="1" applyBorder="1" applyAlignment="1" applyProtection="1">
      <alignment wrapText="1"/>
      <protection locked="0"/>
    </xf>
    <xf numFmtId="44" fontId="0" fillId="7" borderId="5" xfId="11" applyNumberFormat="1" applyFont="1" applyFill="1" applyBorder="1"/>
    <xf numFmtId="8" fontId="0" fillId="4" borderId="1" xfId="11" applyNumberFormat="1" applyFont="1" applyFill="1" applyBorder="1"/>
    <xf numFmtId="0" fontId="0" fillId="7" borderId="33" xfId="0" applyFill="1" applyBorder="1" applyAlignment="1"/>
    <xf numFmtId="44" fontId="0" fillId="7" borderId="5" xfId="11" applyNumberFormat="1" applyFont="1" applyFill="1" applyBorder="1" applyProtection="1"/>
    <xf numFmtId="0" fontId="3" fillId="3" borderId="24" xfId="0" applyFont="1" applyFill="1" applyBorder="1" applyAlignment="1">
      <alignment horizontal="center" vertical="center"/>
    </xf>
    <xf numFmtId="0" fontId="3" fillId="2" borderId="35" xfId="0" applyFont="1" applyFill="1" applyBorder="1" applyAlignment="1">
      <alignment wrapText="1"/>
    </xf>
    <xf numFmtId="0" fontId="0" fillId="0" borderId="33" xfId="0" applyBorder="1" applyAlignment="1" applyProtection="1">
      <protection locked="0"/>
    </xf>
    <xf numFmtId="0" fontId="0" fillId="0" borderId="1" xfId="0" applyBorder="1"/>
    <xf numFmtId="0" fontId="6" fillId="9" borderId="3" xfId="0" applyFont="1" applyFill="1" applyBorder="1" applyAlignment="1">
      <alignment horizontal="center" vertical="center" wrapText="1"/>
    </xf>
    <xf numFmtId="0" fontId="6" fillId="9" borderId="1" xfId="0" applyFont="1" applyFill="1" applyBorder="1" applyAlignment="1">
      <alignment horizontal="center" vertical="center" wrapText="1"/>
    </xf>
    <xf numFmtId="0" fontId="0" fillId="7" borderId="4" xfId="0" applyFill="1" applyBorder="1" applyProtection="1">
      <protection locked="0"/>
    </xf>
    <xf numFmtId="10" fontId="0" fillId="4" borderId="1" xfId="2" applyNumberFormat="1" applyFont="1" applyFill="1" applyBorder="1"/>
    <xf numFmtId="44" fontId="0" fillId="5" borderId="1" xfId="11" applyFont="1" applyFill="1" applyBorder="1" applyAlignment="1">
      <alignment horizontal="center"/>
    </xf>
    <xf numFmtId="8" fontId="0" fillId="9" borderId="1" xfId="11" applyNumberFormat="1" applyFont="1" applyFill="1" applyBorder="1"/>
    <xf numFmtId="44" fontId="0" fillId="9" borderId="5" xfId="11" applyFont="1" applyFill="1" applyBorder="1"/>
    <xf numFmtId="10" fontId="1" fillId="10" borderId="1" xfId="2" applyNumberFormat="1" applyFont="1" applyFill="1" applyBorder="1"/>
    <xf numFmtId="44" fontId="1" fillId="10" borderId="1" xfId="11" applyFont="1" applyFill="1" applyBorder="1" applyAlignment="1">
      <alignment horizontal="center"/>
    </xf>
    <xf numFmtId="44" fontId="0" fillId="9" borderId="5" xfId="11" applyFont="1" applyFill="1" applyBorder="1" applyAlignment="1">
      <alignment horizontal="center"/>
    </xf>
    <xf numFmtId="9" fontId="0" fillId="4" borderId="1" xfId="2" applyFont="1" applyFill="1" applyBorder="1"/>
    <xf numFmtId="44" fontId="0" fillId="9" borderId="1" xfId="11" applyFont="1" applyFill="1" applyBorder="1" applyAlignment="1">
      <alignment horizontal="center"/>
    </xf>
    <xf numFmtId="44" fontId="0" fillId="4" borderId="4" xfId="11" applyFont="1" applyFill="1" applyBorder="1"/>
    <xf numFmtId="164" fontId="0" fillId="4" borderId="1" xfId="0" applyNumberFormat="1" applyFill="1" applyBorder="1"/>
    <xf numFmtId="44" fontId="0" fillId="5" borderId="1" xfId="0" applyNumberFormat="1" applyFill="1" applyBorder="1" applyAlignment="1">
      <alignment horizontal="center"/>
    </xf>
    <xf numFmtId="44" fontId="0" fillId="10" borderId="1" xfId="0" applyNumberFormat="1" applyFill="1" applyBorder="1" applyAlignment="1">
      <alignment horizontal="center"/>
    </xf>
    <xf numFmtId="8" fontId="0" fillId="4" borderId="1" xfId="2" applyNumberFormat="1" applyFont="1" applyFill="1" applyBorder="1"/>
    <xf numFmtId="44" fontId="0" fillId="9" borderId="1" xfId="0" applyNumberFormat="1" applyFill="1" applyBorder="1" applyAlignment="1">
      <alignment horizontal="center"/>
    </xf>
    <xf numFmtId="44" fontId="3" fillId="6" borderId="7" xfId="11" applyFont="1" applyFill="1" applyBorder="1" applyAlignment="1">
      <alignment horizontal="center" vertical="center" wrapText="1"/>
    </xf>
    <xf numFmtId="44" fontId="3" fillId="10" borderId="7" xfId="11" applyFont="1" applyFill="1" applyBorder="1" applyAlignment="1">
      <alignment horizontal="center" vertical="center" wrapText="1"/>
    </xf>
    <xf numFmtId="44" fontId="3" fillId="9" borderId="19" xfId="11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12" fillId="3" borderId="1" xfId="0" applyFont="1" applyFill="1" applyBorder="1" applyAlignment="1">
      <alignment wrapText="1"/>
    </xf>
    <xf numFmtId="0" fontId="10" fillId="3" borderId="1" xfId="0" applyFont="1" applyFill="1" applyBorder="1" applyAlignment="1">
      <alignment wrapText="1"/>
    </xf>
    <xf numFmtId="44" fontId="1" fillId="0" borderId="1" xfId="11" applyFont="1" applyBorder="1" applyAlignment="1" applyProtection="1">
      <protection locked="0"/>
    </xf>
    <xf numFmtId="0" fontId="6" fillId="3" borderId="2" xfId="0" applyFont="1" applyFill="1" applyBorder="1" applyAlignment="1">
      <alignment horizontal="center" vertical="center"/>
    </xf>
    <xf numFmtId="0" fontId="7" fillId="0" borderId="4" xfId="0" applyFont="1" applyBorder="1" applyAlignment="1"/>
    <xf numFmtId="0" fontId="6" fillId="3" borderId="1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wrapText="1"/>
    </xf>
    <xf numFmtId="0" fontId="3" fillId="2" borderId="35" xfId="0" applyFont="1" applyFill="1" applyBorder="1" applyAlignment="1">
      <alignment wrapText="1"/>
    </xf>
    <xf numFmtId="0" fontId="3" fillId="2" borderId="14" xfId="0" applyFont="1" applyFill="1" applyBorder="1" applyAlignment="1">
      <alignment wrapText="1"/>
    </xf>
    <xf numFmtId="0" fontId="0" fillId="0" borderId="25" xfId="0" applyBorder="1" applyAlignment="1" applyProtection="1">
      <protection locked="0"/>
    </xf>
    <xf numFmtId="0" fontId="0" fillId="0" borderId="33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7" borderId="25" xfId="0" applyFill="1" applyBorder="1" applyAlignment="1" applyProtection="1">
      <protection locked="0"/>
    </xf>
    <xf numFmtId="0" fontId="0" fillId="7" borderId="33" xfId="0" applyFill="1" applyBorder="1" applyAlignment="1" applyProtection="1">
      <protection locked="0"/>
    </xf>
    <xf numFmtId="0" fontId="0" fillId="7" borderId="12" xfId="0" applyFill="1" applyBorder="1" applyAlignment="1" applyProtection="1">
      <protection locked="0"/>
    </xf>
    <xf numFmtId="0" fontId="6" fillId="9" borderId="18" xfId="0" applyFont="1" applyFill="1" applyBorder="1" applyAlignment="1">
      <alignment horizontal="center" vertical="center" wrapText="1"/>
    </xf>
    <xf numFmtId="0" fontId="6" fillId="9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wrapText="1"/>
    </xf>
    <xf numFmtId="0" fontId="7" fillId="0" borderId="1" xfId="0" applyFont="1" applyBorder="1" applyAlignment="1">
      <alignment wrapText="1"/>
    </xf>
    <xf numFmtId="0" fontId="1" fillId="3" borderId="17" xfId="0" applyFon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6" borderId="20" xfId="0" applyFont="1" applyFill="1" applyBorder="1" applyAlignment="1">
      <alignment horizontal="center" vertical="center" wrapText="1"/>
    </xf>
    <xf numFmtId="0" fontId="3" fillId="6" borderId="15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wrapText="1"/>
    </xf>
    <xf numFmtId="0" fontId="7" fillId="0" borderId="12" xfId="0" applyFont="1" applyBorder="1" applyAlignment="1">
      <alignment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21" xfId="0" applyFont="1" applyFill="1" applyBorder="1" applyAlignment="1">
      <alignment horizontal="center" vertical="center" wrapText="1"/>
    </xf>
  </cellXfs>
  <cellStyles count="12">
    <cellStyle name="Dziesiętny" xfId="1" builtinId="3"/>
    <cellStyle name="Hiperłącze" xfId="3" builtinId="8" hidden="1"/>
    <cellStyle name="Hiperłącze" xfId="5" builtinId="8" hidden="1"/>
    <cellStyle name="Hiperłącze" xfId="7" builtinId="8" hidden="1"/>
    <cellStyle name="Hiperłącze" xfId="9" builtinId="8" hidden="1"/>
    <cellStyle name="Normalny" xfId="0" builtinId="0"/>
    <cellStyle name="Odwiedzone hiperłącze" xfId="4" builtinId="9" hidden="1"/>
    <cellStyle name="Odwiedzone hiperłącze" xfId="6" builtinId="9" hidden="1"/>
    <cellStyle name="Odwiedzone hiperłącze" xfId="8" builtinId="9" hidden="1"/>
    <cellStyle name="Odwiedzone hiperłącze" xfId="10" builtinId="9" hidden="1"/>
    <cellStyle name="Procentowy" xfId="2" builtinId="5"/>
    <cellStyle name="Walutowy" xfId="1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45"/>
  <sheetViews>
    <sheetView tabSelected="1" zoomScale="90" zoomScaleNormal="90" zoomScalePageLayoutView="90" workbookViewId="0">
      <selection activeCell="E6" sqref="E6:E7"/>
    </sheetView>
  </sheetViews>
  <sheetFormatPr defaultColWidth="8.85546875" defaultRowHeight="15" x14ac:dyDescent="0.25"/>
  <cols>
    <col min="2" max="2" width="31.42578125" customWidth="1"/>
    <col min="3" max="3" width="20.140625" customWidth="1"/>
    <col min="4" max="4" width="17.85546875" customWidth="1"/>
    <col min="5" max="5" width="22" customWidth="1"/>
    <col min="6" max="6" width="20.42578125" customWidth="1"/>
    <col min="7" max="7" width="16.85546875" customWidth="1"/>
    <col min="8" max="8" width="13.85546875" hidden="1" customWidth="1"/>
    <col min="9" max="9" width="13.85546875" customWidth="1"/>
    <col min="10" max="10" width="19.140625" customWidth="1"/>
    <col min="11" max="11" width="11.42578125" customWidth="1"/>
    <col min="19" max="19" width="12.42578125" customWidth="1"/>
  </cols>
  <sheetData>
    <row r="2" spans="2:19" x14ac:dyDescent="0.2">
      <c r="B2" s="3"/>
      <c r="D2" s="4"/>
    </row>
    <row r="3" spans="2:19" x14ac:dyDescent="0.25">
      <c r="B3" s="138" t="s">
        <v>50</v>
      </c>
      <c r="C3" s="139"/>
      <c r="D3" s="91">
        <v>1500</v>
      </c>
      <c r="E3" s="140" t="s">
        <v>55</v>
      </c>
      <c r="F3" s="142">
        <v>50</v>
      </c>
      <c r="G3" s="140" t="s">
        <v>59</v>
      </c>
      <c r="H3" s="107"/>
      <c r="I3" s="142">
        <v>4</v>
      </c>
    </row>
    <row r="4" spans="2:19" ht="49.5" customHeight="1" x14ac:dyDescent="0.25">
      <c r="B4" s="138" t="s">
        <v>24</v>
      </c>
      <c r="C4" s="139"/>
      <c r="D4" s="92">
        <v>21</v>
      </c>
      <c r="E4" s="141"/>
      <c r="F4" s="142"/>
      <c r="G4" s="141"/>
      <c r="H4" s="107"/>
      <c r="I4" s="142"/>
    </row>
    <row r="5" spans="2:19" ht="15.95" thickBot="1" x14ac:dyDescent="0.25">
      <c r="H5">
        <f>C25+1</f>
        <v>2</v>
      </c>
    </row>
    <row r="6" spans="2:19" x14ac:dyDescent="0.25">
      <c r="B6" s="143" t="s">
        <v>4</v>
      </c>
      <c r="C6" s="132" t="s">
        <v>51</v>
      </c>
      <c r="D6" s="132" t="s">
        <v>53</v>
      </c>
      <c r="E6" s="132" t="s">
        <v>52</v>
      </c>
      <c r="F6" s="132" t="s">
        <v>56</v>
      </c>
      <c r="G6" s="132" t="s">
        <v>54</v>
      </c>
      <c r="H6" s="134" t="s">
        <v>45</v>
      </c>
      <c r="I6" s="108">
        <f>H5</f>
        <v>2</v>
      </c>
      <c r="J6" s="134" t="s">
        <v>48</v>
      </c>
      <c r="K6" s="155" t="s">
        <v>38</v>
      </c>
    </row>
    <row r="7" spans="2:19" ht="63" customHeight="1" x14ac:dyDescent="0.25">
      <c r="B7" s="144"/>
      <c r="C7" s="145"/>
      <c r="D7" s="133"/>
      <c r="E7" s="145"/>
      <c r="F7" s="133"/>
      <c r="G7" s="133"/>
      <c r="H7" s="135" t="s">
        <v>34</v>
      </c>
      <c r="I7" s="109" t="s">
        <v>47</v>
      </c>
      <c r="J7" s="133"/>
      <c r="K7" s="156"/>
    </row>
    <row r="8" spans="2:19" x14ac:dyDescent="0.2">
      <c r="B8" s="110" t="s">
        <v>40</v>
      </c>
      <c r="C8" s="93">
        <v>4500</v>
      </c>
      <c r="D8" s="42">
        <f>IF(C8=0,"-",$E8/$C8)</f>
        <v>2.1466666666666665E-3</v>
      </c>
      <c r="E8" s="101">
        <f>ROUND((($D$3-$E$20)*C8/$C$18),2)</f>
        <v>9.66</v>
      </c>
      <c r="F8" s="101">
        <f>E8*$D$4</f>
        <v>202.86</v>
      </c>
      <c r="G8" s="111">
        <f>IF(C8=0,"-",$F8/$C8)</f>
        <v>4.5080000000000002E-2</v>
      </c>
      <c r="H8" s="112">
        <f>IF(F8&lt;=$F$3,F8,$F$2)</f>
        <v>0</v>
      </c>
      <c r="I8" s="113">
        <f>ROUND(IF(H8=0,($D$3+$I$3-$H$20-$H$18)*J8/$J$18,F8),2)</f>
        <v>8.77</v>
      </c>
      <c r="J8" s="54">
        <f>IF(H8&gt;0,0,C8)</f>
        <v>4500</v>
      </c>
      <c r="K8" s="114">
        <f>ROUND(IF(J8=0,$F$2,($D$3-$K$20)*J8/$J$18),2)</f>
        <v>9.69</v>
      </c>
      <c r="S8" s="70"/>
    </row>
    <row r="9" spans="2:19" x14ac:dyDescent="0.2">
      <c r="B9" s="110" t="s">
        <v>43</v>
      </c>
      <c r="C9" s="93">
        <v>450</v>
      </c>
      <c r="D9" s="42">
        <f t="shared" ref="D9:D17" si="0">IF(C9=0,"-",$E9/$C9)</f>
        <v>2.1555555555555555E-3</v>
      </c>
      <c r="E9" s="101">
        <f t="shared" ref="E9:E17" si="1">ROUND((($D$3-$E$20)*C9/$C$18),2)</f>
        <v>0.97</v>
      </c>
      <c r="F9" s="101">
        <f t="shared" ref="F9:F18" si="2">E9*$D$4</f>
        <v>20.37</v>
      </c>
      <c r="G9" s="111">
        <f t="shared" ref="G9:G17" si="3">IF(C9=0,"-",$F9/$C9)</f>
        <v>4.526666666666667E-2</v>
      </c>
      <c r="H9" s="112">
        <f t="shared" ref="H9:H17" si="4">IF(F9&lt;=$F$3,F9,$F$2)</f>
        <v>20.37</v>
      </c>
      <c r="I9" s="113">
        <f t="shared" ref="I9:I17" si="5">ROUND(IF(H9=0,($D$3+$I$3-$H$20-$H$18)*J9/$J$18,F9),2)</f>
        <v>20.37</v>
      </c>
      <c r="J9" s="54">
        <f t="shared" ref="J9:J17" si="6">IF(H9&gt;0,0,C9)</f>
        <v>0</v>
      </c>
      <c r="K9" s="114">
        <f t="shared" ref="K9:K17" si="7">ROUND(IF(J9=0,$F$2,($D$3-$K$20)*J9/$J$18),2)</f>
        <v>0</v>
      </c>
      <c r="S9" s="71"/>
    </row>
    <row r="10" spans="2:19" x14ac:dyDescent="0.2">
      <c r="B10" s="110" t="s">
        <v>1</v>
      </c>
      <c r="C10" s="93">
        <v>24900</v>
      </c>
      <c r="D10" s="42">
        <f t="shared" si="0"/>
        <v>2.1473895582329317E-3</v>
      </c>
      <c r="E10" s="101">
        <f t="shared" si="1"/>
        <v>53.47</v>
      </c>
      <c r="F10" s="101">
        <f t="shared" si="2"/>
        <v>1122.8699999999999</v>
      </c>
      <c r="G10" s="111">
        <f t="shared" si="3"/>
        <v>4.5095180722891565E-2</v>
      </c>
      <c r="H10" s="112">
        <f t="shared" si="4"/>
        <v>0</v>
      </c>
      <c r="I10" s="113">
        <f t="shared" si="5"/>
        <v>48.55</v>
      </c>
      <c r="J10" s="54">
        <f t="shared" si="6"/>
        <v>24900</v>
      </c>
      <c r="K10" s="114">
        <f t="shared" si="7"/>
        <v>53.64</v>
      </c>
      <c r="S10" s="71"/>
    </row>
    <row r="11" spans="2:19" x14ac:dyDescent="0.2">
      <c r="B11" s="110" t="s">
        <v>2</v>
      </c>
      <c r="C11" s="93">
        <v>5000</v>
      </c>
      <c r="D11" s="42">
        <f t="shared" si="0"/>
        <v>2.1480000000000002E-3</v>
      </c>
      <c r="E11" s="101">
        <f t="shared" si="1"/>
        <v>10.74</v>
      </c>
      <c r="F11" s="101">
        <f t="shared" si="2"/>
        <v>225.54</v>
      </c>
      <c r="G11" s="111">
        <f t="shared" si="3"/>
        <v>4.5107999999999995E-2</v>
      </c>
      <c r="H11" s="112">
        <f t="shared" si="4"/>
        <v>0</v>
      </c>
      <c r="I11" s="113">
        <f t="shared" si="5"/>
        <v>9.75</v>
      </c>
      <c r="J11" s="54">
        <f t="shared" si="6"/>
        <v>5000</v>
      </c>
      <c r="K11" s="114">
        <f t="shared" si="7"/>
        <v>10.77</v>
      </c>
    </row>
    <row r="12" spans="2:19" x14ac:dyDescent="0.2">
      <c r="B12" s="110" t="s">
        <v>60</v>
      </c>
      <c r="C12" s="93">
        <v>123</v>
      </c>
      <c r="D12" s="42">
        <f t="shared" si="0"/>
        <v>2.1138211382113821E-3</v>
      </c>
      <c r="E12" s="101">
        <f t="shared" si="1"/>
        <v>0.26</v>
      </c>
      <c r="F12" s="101">
        <f t="shared" si="2"/>
        <v>5.46</v>
      </c>
      <c r="G12" s="111">
        <f t="shared" si="3"/>
        <v>4.4390243902439022E-2</v>
      </c>
      <c r="H12" s="112">
        <f t="shared" si="4"/>
        <v>5.46</v>
      </c>
      <c r="I12" s="113">
        <f t="shared" si="5"/>
        <v>5.46</v>
      </c>
      <c r="J12" s="54">
        <f t="shared" si="6"/>
        <v>0</v>
      </c>
      <c r="K12" s="114">
        <f t="shared" si="7"/>
        <v>0</v>
      </c>
    </row>
    <row r="13" spans="2:19" x14ac:dyDescent="0.2">
      <c r="B13" s="110" t="s">
        <v>16</v>
      </c>
      <c r="C13" s="93">
        <v>3708</v>
      </c>
      <c r="D13" s="42">
        <f t="shared" si="0"/>
        <v>2.1467098166127294E-3</v>
      </c>
      <c r="E13" s="101">
        <f t="shared" si="1"/>
        <v>7.96</v>
      </c>
      <c r="F13" s="101">
        <f t="shared" si="2"/>
        <v>167.16</v>
      </c>
      <c r="G13" s="111">
        <f t="shared" si="3"/>
        <v>4.5080906148867311E-2</v>
      </c>
      <c r="H13" s="112">
        <f t="shared" si="4"/>
        <v>0</v>
      </c>
      <c r="I13" s="113">
        <f t="shared" si="5"/>
        <v>7.23</v>
      </c>
      <c r="J13" s="54">
        <f t="shared" si="6"/>
        <v>3708</v>
      </c>
      <c r="K13" s="114">
        <f t="shared" si="7"/>
        <v>7.99</v>
      </c>
    </row>
    <row r="14" spans="2:19" x14ac:dyDescent="0.2">
      <c r="B14" s="110" t="s">
        <v>17</v>
      </c>
      <c r="C14" s="93">
        <v>109148</v>
      </c>
      <c r="D14" s="42">
        <f t="shared" si="0"/>
        <v>2.1475427859420238E-3</v>
      </c>
      <c r="E14" s="101">
        <f t="shared" si="1"/>
        <v>234.4</v>
      </c>
      <c r="F14" s="101">
        <f t="shared" si="2"/>
        <v>4922.4000000000005</v>
      </c>
      <c r="G14" s="111">
        <f t="shared" si="3"/>
        <v>4.5098398504782505E-2</v>
      </c>
      <c r="H14" s="112">
        <f t="shared" si="4"/>
        <v>0</v>
      </c>
      <c r="I14" s="113">
        <f t="shared" si="5"/>
        <v>212.8</v>
      </c>
      <c r="J14" s="54">
        <f t="shared" si="6"/>
        <v>109148</v>
      </c>
      <c r="K14" s="114">
        <f t="shared" si="7"/>
        <v>235.15</v>
      </c>
    </row>
    <row r="15" spans="2:19" x14ac:dyDescent="0.2">
      <c r="B15" s="110" t="s">
        <v>18</v>
      </c>
      <c r="C15" s="93">
        <v>1000</v>
      </c>
      <c r="D15" s="42">
        <f t="shared" si="0"/>
        <v>2.15E-3</v>
      </c>
      <c r="E15" s="101">
        <f t="shared" si="1"/>
        <v>2.15</v>
      </c>
      <c r="F15" s="101">
        <f t="shared" si="2"/>
        <v>45.15</v>
      </c>
      <c r="G15" s="111">
        <f t="shared" si="3"/>
        <v>4.5149999999999996E-2</v>
      </c>
      <c r="H15" s="112">
        <f t="shared" si="4"/>
        <v>45.15</v>
      </c>
      <c r="I15" s="113">
        <f t="shared" si="5"/>
        <v>45.15</v>
      </c>
      <c r="J15" s="54">
        <f t="shared" si="6"/>
        <v>0</v>
      </c>
      <c r="K15" s="114">
        <f t="shared" si="7"/>
        <v>0</v>
      </c>
    </row>
    <row r="16" spans="2:19" x14ac:dyDescent="0.2">
      <c r="B16" s="110" t="s">
        <v>19</v>
      </c>
      <c r="C16" s="93">
        <v>549000</v>
      </c>
      <c r="D16" s="42">
        <f t="shared" si="0"/>
        <v>2.147577413479053E-3</v>
      </c>
      <c r="E16" s="101">
        <f t="shared" si="1"/>
        <v>1179.02</v>
      </c>
      <c r="F16" s="101">
        <f t="shared" si="2"/>
        <v>24759.42</v>
      </c>
      <c r="G16" s="111">
        <f t="shared" si="3"/>
        <v>4.5099125683060105E-2</v>
      </c>
      <c r="H16" s="112">
        <f t="shared" si="4"/>
        <v>0</v>
      </c>
      <c r="I16" s="113">
        <f t="shared" si="5"/>
        <v>1070.3599999999999</v>
      </c>
      <c r="J16" s="54">
        <f t="shared" si="6"/>
        <v>549000</v>
      </c>
      <c r="K16" s="114">
        <f t="shared" si="7"/>
        <v>1182.75</v>
      </c>
    </row>
    <row r="17" spans="2:11" x14ac:dyDescent="0.2">
      <c r="B17" s="110" t="s">
        <v>20</v>
      </c>
      <c r="C17" s="93">
        <v>634</v>
      </c>
      <c r="D17" s="42">
        <f t="shared" si="0"/>
        <v>2.1451104100946375E-3</v>
      </c>
      <c r="E17" s="101">
        <f t="shared" si="1"/>
        <v>1.36</v>
      </c>
      <c r="F17" s="101">
        <f t="shared" si="2"/>
        <v>28.560000000000002</v>
      </c>
      <c r="G17" s="111">
        <f t="shared" si="3"/>
        <v>4.5047318611987387E-2</v>
      </c>
      <c r="H17" s="112">
        <f t="shared" si="4"/>
        <v>28.560000000000002</v>
      </c>
      <c r="I17" s="113">
        <f t="shared" si="5"/>
        <v>28.56</v>
      </c>
      <c r="J17" s="54">
        <f t="shared" si="6"/>
        <v>0</v>
      </c>
      <c r="K17" s="114">
        <f t="shared" si="7"/>
        <v>0</v>
      </c>
    </row>
    <row r="18" spans="2:11" x14ac:dyDescent="0.25">
      <c r="B18" s="87" t="s">
        <v>7</v>
      </c>
      <c r="C18" s="88">
        <f>SUM(C8:C17)</f>
        <v>698463</v>
      </c>
      <c r="D18" s="89">
        <f t="shared" ref="D18" si="8">$E18/$C18</f>
        <v>2.1475582815410404E-3</v>
      </c>
      <c r="E18" s="90">
        <f>SUM(E8:E17)</f>
        <v>1499.9899999999998</v>
      </c>
      <c r="F18" s="90">
        <f t="shared" si="2"/>
        <v>31499.789999999994</v>
      </c>
      <c r="G18" s="115">
        <f t="shared" ref="G18" si="9">$F18/$C18</f>
        <v>4.5098723912361846E-2</v>
      </c>
      <c r="H18" s="116">
        <f>SUM(H8:H17)</f>
        <v>99.54</v>
      </c>
      <c r="I18" s="116">
        <f>SUM(I8:I17)</f>
        <v>1456.9999999999998</v>
      </c>
      <c r="J18" s="116">
        <f>SUM(J8:J17)</f>
        <v>696256</v>
      </c>
      <c r="K18" s="117"/>
    </row>
    <row r="19" spans="2:11" x14ac:dyDescent="0.25">
      <c r="B19" s="157" t="s">
        <v>6</v>
      </c>
      <c r="C19" s="158"/>
      <c r="D19" s="9"/>
      <c r="E19" s="9"/>
      <c r="F19" s="8"/>
      <c r="G19" s="118"/>
      <c r="H19" s="112"/>
      <c r="I19" s="119"/>
      <c r="J19" s="112"/>
      <c r="K19" s="117"/>
    </row>
    <row r="20" spans="2:11" x14ac:dyDescent="0.2">
      <c r="B20" s="120"/>
      <c r="C20" s="93">
        <v>1547</v>
      </c>
      <c r="D20" s="121"/>
      <c r="E20" s="17"/>
      <c r="F20" s="46"/>
      <c r="G20" s="118"/>
      <c r="H20" s="122">
        <f>D26</f>
        <v>47</v>
      </c>
      <c r="I20" s="123">
        <f>H20</f>
        <v>47</v>
      </c>
      <c r="J20" s="122">
        <v>0</v>
      </c>
      <c r="K20" s="117">
        <v>0</v>
      </c>
    </row>
    <row r="21" spans="2:11" x14ac:dyDescent="0.2">
      <c r="B21" s="120"/>
      <c r="C21" s="46"/>
      <c r="D21" s="121"/>
      <c r="E21" s="17"/>
      <c r="F21" s="17"/>
      <c r="G21" s="124"/>
      <c r="H21" s="122"/>
      <c r="I21" s="125"/>
      <c r="J21" s="122"/>
      <c r="K21" s="117"/>
    </row>
    <row r="22" spans="2:11" ht="15.75" thickBot="1" x14ac:dyDescent="0.3">
      <c r="B22" s="13" t="s">
        <v>21</v>
      </c>
      <c r="C22" s="48">
        <f>C18+C20</f>
        <v>700010</v>
      </c>
      <c r="D22" s="48"/>
      <c r="E22" s="72">
        <f>E18+E20</f>
        <v>1499.9899999999998</v>
      </c>
      <c r="F22" s="72">
        <f>F18+F20</f>
        <v>31499.789999999994</v>
      </c>
      <c r="G22" s="31"/>
      <c r="H22" s="126">
        <f>H18+H20</f>
        <v>146.54000000000002</v>
      </c>
      <c r="I22" s="127">
        <f>I18+I20</f>
        <v>1503.9999999999998</v>
      </c>
      <c r="J22" s="126"/>
      <c r="K22" s="128">
        <f>SUM(K8:K20)</f>
        <v>1499.99</v>
      </c>
    </row>
    <row r="23" spans="2:11" ht="15.95" thickBot="1" x14ac:dyDescent="0.25">
      <c r="D23" s="2"/>
      <c r="E23" s="2"/>
      <c r="F23" s="2"/>
      <c r="G23" s="16"/>
    </row>
    <row r="24" spans="2:11" ht="29.25" customHeight="1" x14ac:dyDescent="0.25">
      <c r="B24" s="136" t="s">
        <v>6</v>
      </c>
      <c r="C24" s="137"/>
      <c r="D24" s="34" t="s">
        <v>29</v>
      </c>
    </row>
    <row r="25" spans="2:11" x14ac:dyDescent="0.25">
      <c r="B25" s="80" t="s">
        <v>28</v>
      </c>
      <c r="C25" s="81">
        <f>ROUNDDOWN(C20/D3,0)</f>
        <v>1</v>
      </c>
      <c r="D25" s="82">
        <f>D3</f>
        <v>1500</v>
      </c>
    </row>
    <row r="26" spans="2:11" ht="15.75" thickBot="1" x14ac:dyDescent="0.3">
      <c r="B26" s="83" t="s">
        <v>58</v>
      </c>
      <c r="C26" s="84"/>
      <c r="D26" s="85">
        <f>C20-D3*C25</f>
        <v>47</v>
      </c>
    </row>
    <row r="27" spans="2:11" x14ac:dyDescent="0.2">
      <c r="B27" s="78"/>
      <c r="C27" s="78"/>
      <c r="D27" s="79"/>
    </row>
    <row r="28" spans="2:11" ht="35.25" customHeight="1" x14ac:dyDescent="0.25">
      <c r="B28" s="77" t="s">
        <v>46</v>
      </c>
      <c r="C28" s="98">
        <f>IF(C25&gt;D4,"Nie wystarczy na koszty",C25+1)</f>
        <v>2</v>
      </c>
      <c r="D28" s="77" t="s">
        <v>47</v>
      </c>
      <c r="E28" s="43"/>
      <c r="F28" s="77" t="s">
        <v>42</v>
      </c>
      <c r="G28" s="77">
        <f>D4-C25-1</f>
        <v>19</v>
      </c>
      <c r="H28" s="77" t="s">
        <v>44</v>
      </c>
      <c r="I28" s="77" t="s">
        <v>49</v>
      </c>
    </row>
    <row r="29" spans="2:11" ht="15.95" thickBot="1" x14ac:dyDescent="0.25">
      <c r="E29" s="43"/>
    </row>
    <row r="30" spans="2:11" x14ac:dyDescent="0.2">
      <c r="B30" s="86" t="s">
        <v>22</v>
      </c>
      <c r="C30" s="27" t="s">
        <v>14</v>
      </c>
      <c r="F30" s="129" t="s">
        <v>22</v>
      </c>
      <c r="G30" s="130"/>
      <c r="H30" s="131"/>
      <c r="I30" s="104"/>
      <c r="J30" s="27" t="s">
        <v>14</v>
      </c>
    </row>
    <row r="31" spans="2:11" x14ac:dyDescent="0.2">
      <c r="B31" s="94" t="str">
        <f>IF(C31=0," ",B8)</f>
        <v>Jan Kowalski</v>
      </c>
      <c r="C31" s="96">
        <f>I8</f>
        <v>8.77</v>
      </c>
      <c r="F31" s="149" t="str">
        <f>B8</f>
        <v>Jan Kowalski</v>
      </c>
      <c r="G31" s="150"/>
      <c r="H31" s="151"/>
      <c r="I31" s="106"/>
      <c r="J31" s="95">
        <f>K8</f>
        <v>9.69</v>
      </c>
    </row>
    <row r="32" spans="2:11" x14ac:dyDescent="0.2">
      <c r="B32" s="94" t="str">
        <f t="shared" ref="B32:B40" si="10">B9</f>
        <v>Krzysztof Nowak</v>
      </c>
      <c r="C32" s="96">
        <f t="shared" ref="C32:C40" si="11">I9</f>
        <v>20.37</v>
      </c>
      <c r="F32" s="149" t="str">
        <f t="shared" ref="F32:F40" si="12">B9</f>
        <v>Krzysztof Nowak</v>
      </c>
      <c r="G32" s="150"/>
      <c r="H32" s="151"/>
      <c r="I32" s="106"/>
      <c r="J32" s="95">
        <f t="shared" ref="J32:J40" si="13">K9</f>
        <v>0</v>
      </c>
    </row>
    <row r="33" spans="2:10" x14ac:dyDescent="0.25">
      <c r="B33" s="94" t="str">
        <f t="shared" si="10"/>
        <v>C</v>
      </c>
      <c r="C33" s="96">
        <f t="shared" si="11"/>
        <v>48.55</v>
      </c>
      <c r="F33" s="149" t="str">
        <f t="shared" si="12"/>
        <v>C</v>
      </c>
      <c r="G33" s="150"/>
      <c r="H33" s="151"/>
      <c r="I33" s="106"/>
      <c r="J33" s="95">
        <f t="shared" si="13"/>
        <v>53.64</v>
      </c>
    </row>
    <row r="34" spans="2:10" x14ac:dyDescent="0.25">
      <c r="B34" s="94" t="str">
        <f t="shared" si="10"/>
        <v>D</v>
      </c>
      <c r="C34" s="96">
        <f t="shared" si="11"/>
        <v>9.75</v>
      </c>
      <c r="F34" s="149" t="str">
        <f t="shared" si="12"/>
        <v>D</v>
      </c>
      <c r="G34" s="150"/>
      <c r="H34" s="151"/>
      <c r="I34" s="106"/>
      <c r="J34" s="95">
        <f t="shared" si="13"/>
        <v>10.77</v>
      </c>
    </row>
    <row r="35" spans="2:10" x14ac:dyDescent="0.25">
      <c r="B35" s="94" t="str">
        <f t="shared" si="10"/>
        <v>e</v>
      </c>
      <c r="C35" s="96">
        <f t="shared" si="11"/>
        <v>5.46</v>
      </c>
      <c r="F35" s="149" t="str">
        <f t="shared" si="12"/>
        <v>e</v>
      </c>
      <c r="G35" s="150"/>
      <c r="H35" s="151"/>
      <c r="I35" s="106"/>
      <c r="J35" s="95">
        <f t="shared" si="13"/>
        <v>0</v>
      </c>
    </row>
    <row r="36" spans="2:10" x14ac:dyDescent="0.25">
      <c r="B36" s="94" t="str">
        <f t="shared" si="10"/>
        <v>F</v>
      </c>
      <c r="C36" s="96">
        <f t="shared" si="11"/>
        <v>7.23</v>
      </c>
      <c r="F36" s="149" t="str">
        <f t="shared" si="12"/>
        <v>F</v>
      </c>
      <c r="G36" s="150"/>
      <c r="H36" s="151"/>
      <c r="I36" s="106"/>
      <c r="J36" s="95">
        <f t="shared" si="13"/>
        <v>7.99</v>
      </c>
    </row>
    <row r="37" spans="2:10" x14ac:dyDescent="0.25">
      <c r="B37" s="94" t="str">
        <f t="shared" si="10"/>
        <v>G</v>
      </c>
      <c r="C37" s="96">
        <f t="shared" si="11"/>
        <v>212.8</v>
      </c>
      <c r="F37" s="149" t="str">
        <f t="shared" si="12"/>
        <v>G</v>
      </c>
      <c r="G37" s="150"/>
      <c r="H37" s="151"/>
      <c r="I37" s="106"/>
      <c r="J37" s="95">
        <f t="shared" si="13"/>
        <v>235.15</v>
      </c>
    </row>
    <row r="38" spans="2:10" x14ac:dyDescent="0.25">
      <c r="B38" s="94" t="str">
        <f t="shared" si="10"/>
        <v>H</v>
      </c>
      <c r="C38" s="96">
        <f t="shared" si="11"/>
        <v>45.15</v>
      </c>
      <c r="F38" s="149" t="str">
        <f t="shared" si="12"/>
        <v>H</v>
      </c>
      <c r="G38" s="150"/>
      <c r="H38" s="151"/>
      <c r="I38" s="106"/>
      <c r="J38" s="95">
        <f t="shared" si="13"/>
        <v>0</v>
      </c>
    </row>
    <row r="39" spans="2:10" x14ac:dyDescent="0.25">
      <c r="B39" s="94" t="str">
        <f t="shared" si="10"/>
        <v>I</v>
      </c>
      <c r="C39" s="96">
        <f t="shared" si="11"/>
        <v>1070.3599999999999</v>
      </c>
      <c r="F39" s="149" t="str">
        <f t="shared" si="12"/>
        <v>I</v>
      </c>
      <c r="G39" s="150"/>
      <c r="H39" s="151"/>
      <c r="I39" s="106"/>
      <c r="J39" s="95">
        <f t="shared" si="13"/>
        <v>1182.75</v>
      </c>
    </row>
    <row r="40" spans="2:10" x14ac:dyDescent="0.25">
      <c r="B40" s="94" t="str">
        <f t="shared" si="10"/>
        <v>J</v>
      </c>
      <c r="C40" s="96">
        <f t="shared" si="11"/>
        <v>28.56</v>
      </c>
      <c r="F40" s="149" t="str">
        <f t="shared" si="12"/>
        <v>J</v>
      </c>
      <c r="G40" s="150"/>
      <c r="H40" s="151"/>
      <c r="I40" s="106"/>
      <c r="J40" s="95">
        <f t="shared" si="13"/>
        <v>0</v>
      </c>
    </row>
    <row r="41" spans="2:10" ht="28.5" customHeight="1" x14ac:dyDescent="0.25">
      <c r="B41" s="99" t="s">
        <v>61</v>
      </c>
      <c r="C41" s="103">
        <f>D26</f>
        <v>47</v>
      </c>
      <c r="F41" s="152"/>
      <c r="G41" s="153"/>
      <c r="H41" s="154"/>
      <c r="I41" s="102"/>
      <c r="J41" s="100"/>
    </row>
    <row r="42" spans="2:10" ht="15.75" thickBot="1" x14ac:dyDescent="0.3">
      <c r="B42" s="35" t="str">
        <f>B22</f>
        <v>Razem</v>
      </c>
      <c r="C42" s="73">
        <f>SUM(C31:C41)</f>
        <v>1503.9999999999998</v>
      </c>
      <c r="F42" s="146" t="str">
        <f>B42</f>
        <v>Razem</v>
      </c>
      <c r="G42" s="147"/>
      <c r="H42" s="148"/>
      <c r="I42" s="105"/>
      <c r="J42" s="73">
        <f>SUM(J31:J41)</f>
        <v>1499.99</v>
      </c>
    </row>
    <row r="43" spans="2:10" ht="15.75" thickBot="1" x14ac:dyDescent="0.3"/>
    <row r="44" spans="2:10" ht="30" x14ac:dyDescent="0.25">
      <c r="B44" s="74" t="s">
        <v>41</v>
      </c>
      <c r="C44" s="75" t="str">
        <f>IF(C45=$C$20,"Koszty spłacone w 100%",IF((C41+K20*(D4-1))&lt;$C$20,"Zbyt niska kwota kosztów","Za wysoka kwota kosztów"))</f>
        <v>Koszty spłacone w 100%</v>
      </c>
    </row>
    <row r="45" spans="2:10" ht="31.5" customHeight="1" thickBot="1" x14ac:dyDescent="0.3">
      <c r="B45" s="76" t="s">
        <v>57</v>
      </c>
      <c r="C45" s="97">
        <f>IF(D3*D4&lt;C20,"Uwaga nie wystarczy na koszty",D25*C25+C41)</f>
        <v>1547</v>
      </c>
    </row>
  </sheetData>
  <sheetProtection password="EA09" sheet="1" objects="1" scenarios="1"/>
  <mergeCells count="30">
    <mergeCell ref="I3:I4"/>
    <mergeCell ref="G3:G4"/>
    <mergeCell ref="J6:J7"/>
    <mergeCell ref="K6:K7"/>
    <mergeCell ref="B19:C19"/>
    <mergeCell ref="F42:H42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F40:H40"/>
    <mergeCell ref="F41:H41"/>
    <mergeCell ref="F30:H30"/>
    <mergeCell ref="G6:G7"/>
    <mergeCell ref="H6:H7"/>
    <mergeCell ref="B24:C24"/>
    <mergeCell ref="B3:C3"/>
    <mergeCell ref="E3:E4"/>
    <mergeCell ref="F3:F4"/>
    <mergeCell ref="B4:C4"/>
    <mergeCell ref="B6:B7"/>
    <mergeCell ref="C6:C7"/>
    <mergeCell ref="D6:D7"/>
    <mergeCell ref="E6:E7"/>
    <mergeCell ref="F6:F7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39"/>
  <sheetViews>
    <sheetView topLeftCell="G4" zoomScale="120" zoomScaleNormal="120" zoomScalePageLayoutView="120" workbookViewId="0">
      <selection activeCell="R1" sqref="R1:T1048576"/>
    </sheetView>
  </sheetViews>
  <sheetFormatPr defaultColWidth="8.85546875" defaultRowHeight="15" x14ac:dyDescent="0.25"/>
  <cols>
    <col min="2" max="2" width="10.7109375" customWidth="1"/>
    <col min="3" max="3" width="20.42578125" customWidth="1"/>
    <col min="4" max="4" width="16.42578125" customWidth="1"/>
    <col min="5" max="5" width="16.28515625" customWidth="1"/>
    <col min="6" max="6" width="15.42578125" customWidth="1"/>
    <col min="7" max="7" width="19.42578125" customWidth="1"/>
    <col min="8" max="8" width="12.85546875" customWidth="1"/>
    <col min="9" max="9" width="17.42578125" customWidth="1"/>
    <col min="10" max="10" width="10.7109375" customWidth="1"/>
    <col min="11" max="11" width="19.28515625" customWidth="1"/>
    <col min="12" max="12" width="14.140625" customWidth="1"/>
    <col min="13" max="14" width="14.28515625" customWidth="1"/>
    <col min="15" max="15" width="10" customWidth="1"/>
    <col min="16" max="16" width="22.7109375" hidden="1" customWidth="1"/>
    <col min="17" max="17" width="21.7109375" hidden="1" customWidth="1"/>
    <col min="18" max="18" width="10.7109375" customWidth="1"/>
    <col min="19" max="19" width="15.140625" customWidth="1"/>
    <col min="20" max="20" width="11.42578125" customWidth="1"/>
  </cols>
  <sheetData>
    <row r="2" spans="2:20" x14ac:dyDescent="0.2">
      <c r="B2" s="3"/>
      <c r="G2" s="4"/>
      <c r="H2" s="4"/>
    </row>
    <row r="3" spans="2:20" x14ac:dyDescent="0.25">
      <c r="B3" s="159" t="s">
        <v>39</v>
      </c>
      <c r="C3" s="160"/>
      <c r="D3" s="44">
        <v>400</v>
      </c>
    </row>
    <row r="4" spans="2:20" x14ac:dyDescent="0.2">
      <c r="B4" s="159" t="s">
        <v>24</v>
      </c>
      <c r="C4" s="160"/>
      <c r="D4" s="26">
        <v>32</v>
      </c>
    </row>
    <row r="5" spans="2:20" ht="15.95" thickBot="1" x14ac:dyDescent="0.25"/>
    <row r="6" spans="2:20" ht="15" customHeight="1" x14ac:dyDescent="0.25">
      <c r="B6" s="161" t="s">
        <v>3</v>
      </c>
      <c r="C6" s="162"/>
      <c r="D6" s="163" t="s">
        <v>9</v>
      </c>
      <c r="E6" s="163" t="s">
        <v>10</v>
      </c>
      <c r="F6" s="163" t="s">
        <v>11</v>
      </c>
      <c r="G6" s="169" t="s">
        <v>12</v>
      </c>
      <c r="H6" s="169" t="s">
        <v>30</v>
      </c>
      <c r="I6" s="169" t="s">
        <v>26</v>
      </c>
      <c r="J6" s="169" t="s">
        <v>8</v>
      </c>
      <c r="K6" s="169" t="s">
        <v>13</v>
      </c>
      <c r="L6" s="169" t="s">
        <v>27</v>
      </c>
      <c r="M6" s="169" t="s">
        <v>23</v>
      </c>
      <c r="N6" s="169" t="s">
        <v>33</v>
      </c>
      <c r="O6" s="172" t="s">
        <v>25</v>
      </c>
      <c r="P6" s="169" t="s">
        <v>23</v>
      </c>
      <c r="Q6" s="172" t="s">
        <v>25</v>
      </c>
      <c r="R6" s="165" t="s">
        <v>35</v>
      </c>
      <c r="S6" s="56"/>
      <c r="T6" s="165" t="s">
        <v>36</v>
      </c>
    </row>
    <row r="7" spans="2:20" ht="44.1" customHeight="1" x14ac:dyDescent="0.25">
      <c r="B7" s="5" t="s">
        <v>4</v>
      </c>
      <c r="C7" s="6" t="s">
        <v>5</v>
      </c>
      <c r="D7" s="164"/>
      <c r="E7" s="164"/>
      <c r="F7" s="164"/>
      <c r="G7" s="170"/>
      <c r="H7" s="171"/>
      <c r="I7" s="170"/>
      <c r="J7" s="171"/>
      <c r="K7" s="171"/>
      <c r="L7" s="171"/>
      <c r="M7" s="170"/>
      <c r="N7" s="171"/>
      <c r="O7" s="173"/>
      <c r="P7" s="170"/>
      <c r="Q7" s="174"/>
      <c r="R7" s="166" t="s">
        <v>34</v>
      </c>
      <c r="S7" s="57"/>
      <c r="T7" s="166"/>
    </row>
    <row r="8" spans="2:20" x14ac:dyDescent="0.2">
      <c r="B8" s="1" t="s">
        <v>32</v>
      </c>
      <c r="C8" s="10">
        <v>5000</v>
      </c>
      <c r="D8" s="10">
        <v>500</v>
      </c>
      <c r="E8" s="10">
        <v>0</v>
      </c>
      <c r="F8" s="10">
        <v>0</v>
      </c>
      <c r="G8" s="46">
        <f>C8-(D8+E8+F8)</f>
        <v>4500</v>
      </c>
      <c r="H8" s="42">
        <f t="shared" ref="H8:H18" si="0">L8/G8</f>
        <v>3.4222222222222222E-4</v>
      </c>
      <c r="I8" s="17">
        <f>ROUND(G8*H8,2)</f>
        <v>1.54</v>
      </c>
      <c r="J8" s="19">
        <v>0</v>
      </c>
      <c r="K8" s="17">
        <f t="shared" ref="K8:K17" si="1">IF(J8&gt;0, 0, G8)</f>
        <v>4500</v>
      </c>
      <c r="L8" s="17">
        <f t="shared" ref="L8:L17" si="2">ROUND(IF(J8&gt;0,J8,($D$3-$J$22)/($K$22)*G8),2)</f>
        <v>1.54</v>
      </c>
      <c r="M8" s="46">
        <f t="shared" ref="M8:M18" si="3">$L8*$D$4</f>
        <v>49.28</v>
      </c>
      <c r="N8" s="45">
        <f>M8/G8</f>
        <v>1.0951111111111111E-2</v>
      </c>
      <c r="O8" s="32" t="str">
        <f>IF($M8&gt;$G8,"Minimum zbyt wysokie!","o.k.")</f>
        <v>o.k.</v>
      </c>
      <c r="P8" s="17">
        <f t="shared" ref="P8:P17" si="4">IF(J8&gt;0,I8*$D$4,L8*$D$4)</f>
        <v>49.28</v>
      </c>
      <c r="Q8" s="32" t="str">
        <f t="shared" ref="Q8:Q17" si="5">IF(J8*$D$4&gt;G8,"Minimum zbyt wysokie!","o.k.")</f>
        <v>o.k.</v>
      </c>
      <c r="R8" s="52">
        <v>49.28</v>
      </c>
      <c r="S8" s="53">
        <f>IF(R8&gt;0,0,G8)</f>
        <v>0</v>
      </c>
      <c r="T8" s="54">
        <f t="shared" ref="T8:T17" si="6">ROUND(IF(S8=0,0,($D$3-$T$20)*S8/$S$18),2)</f>
        <v>0</v>
      </c>
    </row>
    <row r="9" spans="2:20" x14ac:dyDescent="0.2">
      <c r="B9" s="1" t="s">
        <v>0</v>
      </c>
      <c r="C9" s="10">
        <v>650</v>
      </c>
      <c r="D9" s="10">
        <v>0</v>
      </c>
      <c r="E9" s="10">
        <v>200</v>
      </c>
      <c r="F9" s="10">
        <v>0</v>
      </c>
      <c r="G9" s="46">
        <f t="shared" ref="G9:G17" si="7">C9-(D9+E9+F9)</f>
        <v>450</v>
      </c>
      <c r="H9" s="42">
        <f t="shared" si="0"/>
        <v>3.3333333333333332E-4</v>
      </c>
      <c r="I9" s="17">
        <f t="shared" ref="I9:I18" si="8">ROUND(G9*H9,2)</f>
        <v>0.15</v>
      </c>
      <c r="J9" s="19">
        <v>0</v>
      </c>
      <c r="K9" s="17">
        <f t="shared" si="1"/>
        <v>450</v>
      </c>
      <c r="L9" s="17">
        <f t="shared" si="2"/>
        <v>0.15</v>
      </c>
      <c r="M9" s="46">
        <f t="shared" si="3"/>
        <v>4.8</v>
      </c>
      <c r="N9" s="45">
        <f t="shared" ref="N9:N20" si="9">M9/G9</f>
        <v>1.0666666666666666E-2</v>
      </c>
      <c r="O9" s="32" t="str">
        <f t="shared" ref="O9:O18" si="10">IF($M9&gt;$G9,"Minimum zbyt wysokie!","o.k.")</f>
        <v>o.k.</v>
      </c>
      <c r="P9" s="17">
        <f t="shared" si="4"/>
        <v>4.8</v>
      </c>
      <c r="Q9" s="30" t="str">
        <f t="shared" si="5"/>
        <v>o.k.</v>
      </c>
      <c r="R9" s="52">
        <v>4.8</v>
      </c>
      <c r="S9" s="53">
        <f t="shared" ref="S9:S17" si="11">IF(R9&gt;0,0,G9)</f>
        <v>0</v>
      </c>
      <c r="T9" s="54">
        <f t="shared" si="6"/>
        <v>0</v>
      </c>
    </row>
    <row r="10" spans="2:20" x14ac:dyDescent="0.2">
      <c r="B10" s="1" t="s">
        <v>1</v>
      </c>
      <c r="C10" s="10">
        <v>25000</v>
      </c>
      <c r="D10" s="10">
        <v>0</v>
      </c>
      <c r="E10" s="10">
        <v>100</v>
      </c>
      <c r="F10" s="10">
        <v>0</v>
      </c>
      <c r="G10" s="46">
        <f t="shared" si="7"/>
        <v>24900</v>
      </c>
      <c r="H10" s="42">
        <f t="shared" si="0"/>
        <v>3.4136546184738954E-4</v>
      </c>
      <c r="I10" s="17">
        <f t="shared" si="8"/>
        <v>8.5</v>
      </c>
      <c r="J10" s="19">
        <v>0</v>
      </c>
      <c r="K10" s="17">
        <f t="shared" si="1"/>
        <v>24900</v>
      </c>
      <c r="L10" s="17">
        <f t="shared" si="2"/>
        <v>8.5</v>
      </c>
      <c r="M10" s="46">
        <f t="shared" si="3"/>
        <v>272</v>
      </c>
      <c r="N10" s="45">
        <f t="shared" si="9"/>
        <v>1.0923694779116465E-2</v>
      </c>
      <c r="O10" s="32" t="str">
        <f t="shared" si="10"/>
        <v>o.k.</v>
      </c>
      <c r="P10" s="17">
        <f t="shared" si="4"/>
        <v>272</v>
      </c>
      <c r="Q10" s="30" t="str">
        <f t="shared" si="5"/>
        <v>o.k.</v>
      </c>
      <c r="R10" s="52"/>
      <c r="S10" s="53">
        <f t="shared" si="11"/>
        <v>24900</v>
      </c>
      <c r="T10" s="54">
        <f t="shared" si="6"/>
        <v>8.77</v>
      </c>
    </row>
    <row r="11" spans="2:20" x14ac:dyDescent="0.2">
      <c r="B11" s="1" t="s">
        <v>2</v>
      </c>
      <c r="C11" s="10">
        <v>65000</v>
      </c>
      <c r="D11" s="10">
        <v>0</v>
      </c>
      <c r="E11" s="10">
        <v>300</v>
      </c>
      <c r="F11" s="10">
        <v>0</v>
      </c>
      <c r="G11" s="46">
        <f t="shared" si="7"/>
        <v>64700</v>
      </c>
      <c r="H11" s="42">
        <f t="shared" si="0"/>
        <v>3.4126738794435857E-4</v>
      </c>
      <c r="I11" s="17">
        <f t="shared" si="8"/>
        <v>22.08</v>
      </c>
      <c r="J11" s="19">
        <v>0</v>
      </c>
      <c r="K11" s="17">
        <f t="shared" si="1"/>
        <v>64700</v>
      </c>
      <c r="L11" s="17">
        <f t="shared" si="2"/>
        <v>22.08</v>
      </c>
      <c r="M11" s="46">
        <f t="shared" si="3"/>
        <v>706.56</v>
      </c>
      <c r="N11" s="45">
        <f t="shared" si="9"/>
        <v>1.0920556414219474E-2</v>
      </c>
      <c r="O11" s="32" t="str">
        <f t="shared" si="10"/>
        <v>o.k.</v>
      </c>
      <c r="P11" s="17">
        <f t="shared" si="4"/>
        <v>706.56</v>
      </c>
      <c r="Q11" s="30" t="str">
        <f t="shared" si="5"/>
        <v>o.k.</v>
      </c>
      <c r="R11" s="52"/>
      <c r="S11" s="53">
        <f t="shared" si="11"/>
        <v>64700</v>
      </c>
      <c r="T11" s="54">
        <f t="shared" si="6"/>
        <v>22.79</v>
      </c>
    </row>
    <row r="12" spans="2:20" x14ac:dyDescent="0.2">
      <c r="B12" s="1" t="s">
        <v>15</v>
      </c>
      <c r="C12" s="10">
        <v>3000</v>
      </c>
      <c r="D12" s="10">
        <v>0</v>
      </c>
      <c r="E12" s="10">
        <v>1000</v>
      </c>
      <c r="F12" s="10">
        <v>0</v>
      </c>
      <c r="G12" s="46">
        <f t="shared" si="7"/>
        <v>2000</v>
      </c>
      <c r="H12" s="42">
        <f t="shared" si="0"/>
        <v>3.4000000000000002E-4</v>
      </c>
      <c r="I12" s="17">
        <f t="shared" si="8"/>
        <v>0.68</v>
      </c>
      <c r="J12" s="19">
        <v>0</v>
      </c>
      <c r="K12" s="17">
        <f t="shared" si="1"/>
        <v>2000</v>
      </c>
      <c r="L12" s="17">
        <f t="shared" si="2"/>
        <v>0.68</v>
      </c>
      <c r="M12" s="46">
        <f t="shared" si="3"/>
        <v>21.76</v>
      </c>
      <c r="N12" s="45">
        <f t="shared" si="9"/>
        <v>1.0880000000000001E-2</v>
      </c>
      <c r="O12" s="32" t="str">
        <f t="shared" si="10"/>
        <v>o.k.</v>
      </c>
      <c r="P12" s="17">
        <f t="shared" si="4"/>
        <v>21.76</v>
      </c>
      <c r="Q12" s="30" t="str">
        <f t="shared" si="5"/>
        <v>o.k.</v>
      </c>
      <c r="R12" s="52">
        <v>21.76</v>
      </c>
      <c r="S12" s="53">
        <f t="shared" si="11"/>
        <v>0</v>
      </c>
      <c r="T12" s="54">
        <f t="shared" si="6"/>
        <v>0</v>
      </c>
    </row>
    <row r="13" spans="2:20" x14ac:dyDescent="0.2">
      <c r="B13" s="1" t="s">
        <v>16</v>
      </c>
      <c r="C13" s="10">
        <v>4258</v>
      </c>
      <c r="D13" s="10">
        <v>250</v>
      </c>
      <c r="E13" s="10">
        <v>300</v>
      </c>
      <c r="F13" s="10">
        <v>0</v>
      </c>
      <c r="G13" s="46">
        <f t="shared" si="7"/>
        <v>3708</v>
      </c>
      <c r="H13" s="42">
        <f t="shared" si="0"/>
        <v>3.4250269687162893E-4</v>
      </c>
      <c r="I13" s="17">
        <f t="shared" si="8"/>
        <v>1.27</v>
      </c>
      <c r="J13" s="19">
        <v>0</v>
      </c>
      <c r="K13" s="17">
        <f t="shared" si="1"/>
        <v>3708</v>
      </c>
      <c r="L13" s="17">
        <f t="shared" si="2"/>
        <v>1.27</v>
      </c>
      <c r="M13" s="46">
        <f t="shared" si="3"/>
        <v>40.64</v>
      </c>
      <c r="N13" s="45">
        <f t="shared" si="9"/>
        <v>1.0960086299892126E-2</v>
      </c>
      <c r="O13" s="32" t="str">
        <f t="shared" si="10"/>
        <v>o.k.</v>
      </c>
      <c r="P13" s="17">
        <f t="shared" si="4"/>
        <v>40.64</v>
      </c>
      <c r="Q13" s="30" t="str">
        <f t="shared" si="5"/>
        <v>o.k.</v>
      </c>
      <c r="R13" s="52">
        <v>40.64</v>
      </c>
      <c r="S13" s="53">
        <f t="shared" si="11"/>
        <v>0</v>
      </c>
      <c r="T13" s="54">
        <f t="shared" si="6"/>
        <v>0</v>
      </c>
    </row>
    <row r="14" spans="2:20" x14ac:dyDescent="0.2">
      <c r="B14" s="1" t="s">
        <v>17</v>
      </c>
      <c r="C14" s="10">
        <v>110000</v>
      </c>
      <c r="D14" s="10">
        <v>452</v>
      </c>
      <c r="E14" s="10">
        <v>400</v>
      </c>
      <c r="F14" s="10">
        <v>0</v>
      </c>
      <c r="G14" s="46">
        <f t="shared" si="7"/>
        <v>109148</v>
      </c>
      <c r="H14" s="42">
        <f t="shared" si="0"/>
        <v>3.4127973027448969E-4</v>
      </c>
      <c r="I14" s="17">
        <f t="shared" si="8"/>
        <v>37.25</v>
      </c>
      <c r="J14" s="19">
        <v>0</v>
      </c>
      <c r="K14" s="17">
        <f t="shared" si="1"/>
        <v>109148</v>
      </c>
      <c r="L14" s="17">
        <f t="shared" si="2"/>
        <v>37.25</v>
      </c>
      <c r="M14" s="46">
        <f t="shared" si="3"/>
        <v>1192</v>
      </c>
      <c r="N14" s="45">
        <f t="shared" si="9"/>
        <v>1.092095136878367E-2</v>
      </c>
      <c r="O14" s="32" t="str">
        <f t="shared" si="10"/>
        <v>o.k.</v>
      </c>
      <c r="P14" s="17">
        <f t="shared" si="4"/>
        <v>1192</v>
      </c>
      <c r="Q14" s="30" t="str">
        <f t="shared" si="5"/>
        <v>o.k.</v>
      </c>
      <c r="R14" s="52"/>
      <c r="S14" s="53">
        <f t="shared" si="11"/>
        <v>109148</v>
      </c>
      <c r="T14" s="54">
        <f t="shared" si="6"/>
        <v>38.450000000000003</v>
      </c>
    </row>
    <row r="15" spans="2:20" x14ac:dyDescent="0.2">
      <c r="B15" s="1" t="s">
        <v>18</v>
      </c>
      <c r="C15" s="10">
        <v>1500</v>
      </c>
      <c r="D15" s="10">
        <v>500</v>
      </c>
      <c r="E15" s="10">
        <v>0</v>
      </c>
      <c r="F15" s="10">
        <v>0</v>
      </c>
      <c r="G15" s="46">
        <f t="shared" si="7"/>
        <v>1000</v>
      </c>
      <c r="H15" s="42">
        <f t="shared" si="0"/>
        <v>3.4000000000000002E-4</v>
      </c>
      <c r="I15" s="17">
        <f t="shared" si="8"/>
        <v>0.34</v>
      </c>
      <c r="J15" s="19">
        <v>0</v>
      </c>
      <c r="K15" s="17">
        <f t="shared" si="1"/>
        <v>1000</v>
      </c>
      <c r="L15" s="17">
        <f t="shared" si="2"/>
        <v>0.34</v>
      </c>
      <c r="M15" s="46">
        <f t="shared" si="3"/>
        <v>10.88</v>
      </c>
      <c r="N15" s="45">
        <f t="shared" si="9"/>
        <v>1.0880000000000001E-2</v>
      </c>
      <c r="O15" s="32" t="str">
        <f t="shared" si="10"/>
        <v>o.k.</v>
      </c>
      <c r="P15" s="17">
        <f t="shared" si="4"/>
        <v>10.88</v>
      </c>
      <c r="Q15" s="30" t="str">
        <f t="shared" si="5"/>
        <v>o.k.</v>
      </c>
      <c r="R15" s="52">
        <v>10.88</v>
      </c>
      <c r="S15" s="53">
        <f t="shared" si="11"/>
        <v>0</v>
      </c>
      <c r="T15" s="54">
        <f t="shared" si="6"/>
        <v>0</v>
      </c>
    </row>
    <row r="16" spans="2:20" x14ac:dyDescent="0.2">
      <c r="B16" s="1" t="s">
        <v>19</v>
      </c>
      <c r="C16" s="10">
        <v>650000</v>
      </c>
      <c r="D16" s="10">
        <v>1000</v>
      </c>
      <c r="E16" s="10">
        <v>0</v>
      </c>
      <c r="F16" s="10">
        <v>100000</v>
      </c>
      <c r="G16" s="46">
        <f t="shared" si="7"/>
        <v>549000</v>
      </c>
      <c r="H16" s="42">
        <f t="shared" si="0"/>
        <v>3.4125683060109291E-4</v>
      </c>
      <c r="I16" s="17">
        <f t="shared" si="8"/>
        <v>187.35</v>
      </c>
      <c r="J16" s="19">
        <v>0</v>
      </c>
      <c r="K16" s="17">
        <f t="shared" si="1"/>
        <v>549000</v>
      </c>
      <c r="L16" s="17">
        <f t="shared" si="2"/>
        <v>187.35</v>
      </c>
      <c r="M16" s="46">
        <f t="shared" si="3"/>
        <v>5995.2</v>
      </c>
      <c r="N16" s="45">
        <f t="shared" si="9"/>
        <v>1.0920218579234973E-2</v>
      </c>
      <c r="O16" s="32" t="str">
        <f t="shared" si="10"/>
        <v>o.k.</v>
      </c>
      <c r="P16" s="17">
        <f t="shared" si="4"/>
        <v>5995.2</v>
      </c>
      <c r="Q16" s="30" t="str">
        <f t="shared" si="5"/>
        <v>o.k.</v>
      </c>
      <c r="R16" s="52"/>
      <c r="S16" s="53">
        <f t="shared" si="11"/>
        <v>549000</v>
      </c>
      <c r="T16" s="54">
        <f t="shared" si="6"/>
        <v>193.4</v>
      </c>
    </row>
    <row r="17" spans="2:20" x14ac:dyDescent="0.2">
      <c r="B17" s="1" t="s">
        <v>20</v>
      </c>
      <c r="C17" s="10">
        <v>1234</v>
      </c>
      <c r="D17" s="10">
        <v>500</v>
      </c>
      <c r="E17" s="10">
        <v>100</v>
      </c>
      <c r="F17" s="10">
        <v>0</v>
      </c>
      <c r="G17" s="46">
        <f t="shared" si="7"/>
        <v>634</v>
      </c>
      <c r="H17" s="42">
        <f t="shared" si="0"/>
        <v>3.4700315457413249E-4</v>
      </c>
      <c r="I17" s="17">
        <f t="shared" si="8"/>
        <v>0.22</v>
      </c>
      <c r="J17" s="19">
        <v>0</v>
      </c>
      <c r="K17" s="17">
        <f t="shared" si="1"/>
        <v>634</v>
      </c>
      <c r="L17" s="17">
        <f t="shared" si="2"/>
        <v>0.22</v>
      </c>
      <c r="M17" s="46">
        <f t="shared" si="3"/>
        <v>7.04</v>
      </c>
      <c r="N17" s="45">
        <f t="shared" si="9"/>
        <v>1.110410094637224E-2</v>
      </c>
      <c r="O17" s="32" t="str">
        <f t="shared" si="10"/>
        <v>o.k.</v>
      </c>
      <c r="P17" s="17">
        <f t="shared" si="4"/>
        <v>7.04</v>
      </c>
      <c r="Q17" s="30" t="str">
        <f t="shared" si="5"/>
        <v>o.k.</v>
      </c>
      <c r="R17" s="52">
        <v>7.04</v>
      </c>
      <c r="S17" s="53">
        <f t="shared" si="11"/>
        <v>0</v>
      </c>
      <c r="T17" s="54">
        <f t="shared" si="6"/>
        <v>0</v>
      </c>
    </row>
    <row r="18" spans="2:20" x14ac:dyDescent="0.25">
      <c r="B18" s="7" t="s">
        <v>7</v>
      </c>
      <c r="C18" s="11">
        <f>SUM(C8:C17)</f>
        <v>865642</v>
      </c>
      <c r="D18" s="11"/>
      <c r="E18" s="11"/>
      <c r="F18" s="11"/>
      <c r="G18" s="47">
        <f>SUM(G8:G17)</f>
        <v>760040</v>
      </c>
      <c r="H18" s="42">
        <f t="shared" si="0"/>
        <v>3.4127151202568285E-4</v>
      </c>
      <c r="I18" s="17">
        <f t="shared" si="8"/>
        <v>259.38</v>
      </c>
      <c r="J18" s="8"/>
      <c r="K18" s="8">
        <f>SUM(K8:K17)</f>
        <v>760040</v>
      </c>
      <c r="L18" s="8">
        <f>SUM(L8:L17)</f>
        <v>259.38</v>
      </c>
      <c r="M18" s="46">
        <f t="shared" si="3"/>
        <v>8300.16</v>
      </c>
      <c r="N18" s="45">
        <f t="shared" si="9"/>
        <v>1.0920688384821851E-2</v>
      </c>
      <c r="O18" s="32" t="str">
        <f t="shared" si="10"/>
        <v>o.k.</v>
      </c>
      <c r="P18" s="9">
        <f>SUM(P8:P17)</f>
        <v>8300.16</v>
      </c>
      <c r="Q18" s="30"/>
      <c r="R18" s="52"/>
      <c r="S18" s="52">
        <f>SUM(S8:S17)</f>
        <v>747748</v>
      </c>
      <c r="T18" s="52"/>
    </row>
    <row r="19" spans="2:20" ht="24.75" customHeight="1" x14ac:dyDescent="0.25">
      <c r="B19" s="167" t="s">
        <v>6</v>
      </c>
      <c r="C19" s="168"/>
      <c r="D19" s="38"/>
      <c r="E19" s="38"/>
      <c r="F19" s="38"/>
      <c r="G19" s="49"/>
      <c r="H19" s="39"/>
      <c r="I19" s="40"/>
      <c r="J19" s="41"/>
      <c r="K19" s="8"/>
      <c r="L19" s="8"/>
      <c r="M19" s="47"/>
      <c r="N19" s="45"/>
      <c r="O19" s="30"/>
      <c r="P19" s="9"/>
      <c r="Q19" s="30"/>
      <c r="R19" s="52"/>
      <c r="S19" s="52"/>
      <c r="T19" s="52"/>
    </row>
    <row r="20" spans="2:20" ht="20.25" customHeight="1" x14ac:dyDescent="0.2">
      <c r="B20" s="20"/>
      <c r="C20" s="12">
        <v>4500</v>
      </c>
      <c r="D20" s="25"/>
      <c r="E20" s="25"/>
      <c r="F20" s="25"/>
      <c r="G20" s="50">
        <f>C20</f>
        <v>4500</v>
      </c>
      <c r="H20" s="22"/>
      <c r="I20" s="23">
        <f>ROUND(C20/D4,2)</f>
        <v>140.63</v>
      </c>
      <c r="J20" s="24">
        <f>I20</f>
        <v>140.63</v>
      </c>
      <c r="K20" s="17"/>
      <c r="L20" s="17">
        <f>ROUND(IF(J20&gt;0,J20,($D$3-$J$22)/($K$22)*C20),2)</f>
        <v>140.63</v>
      </c>
      <c r="M20" s="46">
        <f>L20*D4</f>
        <v>4500.16</v>
      </c>
      <c r="N20" s="45">
        <f t="shared" si="9"/>
        <v>1.0000355555555556</v>
      </c>
      <c r="O20" s="32" t="str">
        <f>IF(J20&gt;D3,"Rata nie wystarczy na koszty!","o.k.")</f>
        <v>o.k.</v>
      </c>
      <c r="P20" s="17">
        <f>IF(J20&gt;0,I20*$D$4,L20*$D$4)</f>
        <v>4500.16</v>
      </c>
      <c r="Q20" s="30"/>
      <c r="R20" s="55">
        <f>(D3-SUM(R8:R17))</f>
        <v>265.60000000000002</v>
      </c>
      <c r="S20" s="55">
        <f>G20-R20</f>
        <v>4234.3999999999996</v>
      </c>
      <c r="T20" s="52">
        <f>ROUND(S20/(D4-1),2)</f>
        <v>136.59</v>
      </c>
    </row>
    <row r="21" spans="2:20" ht="20.25" customHeight="1" thickBot="1" x14ac:dyDescent="0.25">
      <c r="B21" s="60"/>
      <c r="C21" s="61"/>
      <c r="D21" s="62"/>
      <c r="E21" s="62"/>
      <c r="F21" s="62"/>
      <c r="G21" s="50"/>
      <c r="H21" s="22"/>
      <c r="I21" s="23"/>
      <c r="J21" s="24"/>
      <c r="K21" s="63"/>
      <c r="L21" s="23"/>
      <c r="M21" s="64"/>
      <c r="N21" s="65"/>
      <c r="O21" s="69">
        <f>M20-G20</f>
        <v>0.15999999999985448</v>
      </c>
      <c r="P21" s="23"/>
      <c r="Q21" s="66"/>
      <c r="R21" s="67">
        <f>R20-O21</f>
        <v>265.44000000000017</v>
      </c>
      <c r="S21" s="67"/>
      <c r="T21" s="68"/>
    </row>
    <row r="22" spans="2:20" ht="25.5" customHeight="1" thickBot="1" x14ac:dyDescent="0.25">
      <c r="B22" s="13" t="s">
        <v>21</v>
      </c>
      <c r="C22" s="21">
        <f>C18+C20</f>
        <v>870142</v>
      </c>
      <c r="D22" s="18"/>
      <c r="E22" s="18"/>
      <c r="F22" s="18"/>
      <c r="G22" s="51">
        <f>G18+G20</f>
        <v>764540</v>
      </c>
      <c r="H22" s="21"/>
      <c r="I22" s="14"/>
      <c r="J22" s="14">
        <f>SUM(J8:J20)</f>
        <v>140.63</v>
      </c>
      <c r="K22" s="15">
        <f>K18+K20</f>
        <v>760040</v>
      </c>
      <c r="L22" s="14">
        <f>L18+L20</f>
        <v>400.01</v>
      </c>
      <c r="M22" s="48">
        <f>M18+M20</f>
        <v>12800.32</v>
      </c>
      <c r="N22" s="31"/>
      <c r="O22" s="33"/>
      <c r="P22" s="31">
        <f>P18+P20</f>
        <v>12800.32</v>
      </c>
      <c r="Q22" s="33"/>
      <c r="R22" s="58">
        <f>SUM(R8:R17)+R21</f>
        <v>399.84000000000015</v>
      </c>
      <c r="S22" s="58"/>
      <c r="T22" s="58">
        <f>SUM(T8:T20)</f>
        <v>400</v>
      </c>
    </row>
    <row r="23" spans="2:20" x14ac:dyDescent="0.2">
      <c r="G23" s="2"/>
      <c r="H23" s="2"/>
      <c r="I23" s="2"/>
      <c r="J23" s="2"/>
      <c r="K23" s="2"/>
      <c r="L23" s="16"/>
      <c r="M23" s="16"/>
      <c r="N23" s="16"/>
      <c r="O23" s="16"/>
    </row>
    <row r="25" spans="2:20" x14ac:dyDescent="0.25">
      <c r="B25" s="2" t="s">
        <v>37</v>
      </c>
      <c r="E25" s="2" t="s">
        <v>38</v>
      </c>
      <c r="F25" s="2">
        <f>D4-1</f>
        <v>31</v>
      </c>
      <c r="I25" s="43"/>
      <c r="J25" s="43"/>
    </row>
    <row r="26" spans="2:20" ht="15.95" thickBot="1" x14ac:dyDescent="0.25">
      <c r="I26" s="43"/>
    </row>
    <row r="27" spans="2:20" x14ac:dyDescent="0.2">
      <c r="B27" s="37" t="s">
        <v>22</v>
      </c>
      <c r="C27" s="27" t="s">
        <v>14</v>
      </c>
      <c r="E27" s="37" t="s">
        <v>22</v>
      </c>
      <c r="F27" s="27" t="s">
        <v>14</v>
      </c>
    </row>
    <row r="28" spans="2:20" x14ac:dyDescent="0.2">
      <c r="B28" s="28" t="str">
        <f>$B8</f>
        <v>Kowalski</v>
      </c>
      <c r="C28" s="29">
        <f>R8</f>
        <v>49.28</v>
      </c>
      <c r="E28" s="28" t="str">
        <f>$B8</f>
        <v>Kowalski</v>
      </c>
      <c r="F28" s="29">
        <f>$T8</f>
        <v>0</v>
      </c>
    </row>
    <row r="29" spans="2:20" x14ac:dyDescent="0.2">
      <c r="B29" s="28" t="str">
        <f t="shared" ref="B29:B37" si="12">$B9</f>
        <v>B</v>
      </c>
      <c r="C29" s="29">
        <f t="shared" ref="C29:C37" si="13">R9</f>
        <v>4.8</v>
      </c>
      <c r="E29" s="28" t="str">
        <f t="shared" ref="E29:E37" si="14">$B9</f>
        <v>B</v>
      </c>
      <c r="F29" s="29">
        <f t="shared" ref="F29:F37" si="15">$T9</f>
        <v>0</v>
      </c>
    </row>
    <row r="30" spans="2:20" x14ac:dyDescent="0.25">
      <c r="B30" s="28" t="str">
        <f t="shared" si="12"/>
        <v>C</v>
      </c>
      <c r="C30" s="29">
        <f t="shared" si="13"/>
        <v>0</v>
      </c>
      <c r="E30" s="28" t="str">
        <f t="shared" si="14"/>
        <v>C</v>
      </c>
      <c r="F30" s="29">
        <f t="shared" si="15"/>
        <v>8.77</v>
      </c>
    </row>
    <row r="31" spans="2:20" x14ac:dyDescent="0.25">
      <c r="B31" s="28" t="str">
        <f t="shared" si="12"/>
        <v>D</v>
      </c>
      <c r="C31" s="29">
        <f t="shared" si="13"/>
        <v>0</v>
      </c>
      <c r="E31" s="28" t="str">
        <f t="shared" si="14"/>
        <v>D</v>
      </c>
      <c r="F31" s="29">
        <f t="shared" si="15"/>
        <v>22.79</v>
      </c>
    </row>
    <row r="32" spans="2:20" x14ac:dyDescent="0.25">
      <c r="B32" s="28" t="str">
        <f t="shared" si="12"/>
        <v>E</v>
      </c>
      <c r="C32" s="29">
        <f t="shared" si="13"/>
        <v>21.76</v>
      </c>
      <c r="E32" s="28" t="str">
        <f t="shared" si="14"/>
        <v>E</v>
      </c>
      <c r="F32" s="29">
        <f t="shared" si="15"/>
        <v>0</v>
      </c>
    </row>
    <row r="33" spans="2:8" x14ac:dyDescent="0.25">
      <c r="B33" s="28" t="str">
        <f t="shared" si="12"/>
        <v>F</v>
      </c>
      <c r="C33" s="29">
        <f t="shared" si="13"/>
        <v>40.64</v>
      </c>
      <c r="E33" s="28" t="str">
        <f t="shared" si="14"/>
        <v>F</v>
      </c>
      <c r="F33" s="29">
        <f t="shared" si="15"/>
        <v>0</v>
      </c>
    </row>
    <row r="34" spans="2:8" x14ac:dyDescent="0.25">
      <c r="B34" s="28" t="str">
        <f t="shared" si="12"/>
        <v>G</v>
      </c>
      <c r="C34" s="29">
        <f t="shared" si="13"/>
        <v>0</v>
      </c>
      <c r="E34" s="28" t="str">
        <f t="shared" si="14"/>
        <v>G</v>
      </c>
      <c r="F34" s="29">
        <f t="shared" si="15"/>
        <v>38.450000000000003</v>
      </c>
    </row>
    <row r="35" spans="2:8" x14ac:dyDescent="0.25">
      <c r="B35" s="28" t="str">
        <f t="shared" si="12"/>
        <v>H</v>
      </c>
      <c r="C35" s="29">
        <f t="shared" si="13"/>
        <v>10.88</v>
      </c>
      <c r="E35" s="28" t="str">
        <f t="shared" si="14"/>
        <v>H</v>
      </c>
      <c r="F35" s="29">
        <f t="shared" si="15"/>
        <v>0</v>
      </c>
    </row>
    <row r="36" spans="2:8" x14ac:dyDescent="0.25">
      <c r="B36" s="28" t="str">
        <f t="shared" si="12"/>
        <v>I</v>
      </c>
      <c r="C36" s="29">
        <f t="shared" si="13"/>
        <v>0</v>
      </c>
      <c r="E36" s="28" t="str">
        <f t="shared" si="14"/>
        <v>I</v>
      </c>
      <c r="F36" s="29">
        <f t="shared" si="15"/>
        <v>193.4</v>
      </c>
    </row>
    <row r="37" spans="2:8" x14ac:dyDescent="0.25">
      <c r="B37" s="28" t="str">
        <f t="shared" si="12"/>
        <v>J</v>
      </c>
      <c r="C37" s="29">
        <f t="shared" si="13"/>
        <v>7.04</v>
      </c>
      <c r="E37" s="28" t="str">
        <f t="shared" si="14"/>
        <v>J</v>
      </c>
      <c r="F37" s="29">
        <f t="shared" si="15"/>
        <v>0</v>
      </c>
    </row>
    <row r="38" spans="2:8" ht="30" x14ac:dyDescent="0.25">
      <c r="B38" s="20" t="s">
        <v>31</v>
      </c>
      <c r="C38" s="29">
        <f>H38</f>
        <v>265.71000000000004</v>
      </c>
      <c r="E38" s="20" t="s">
        <v>31</v>
      </c>
      <c r="F38" s="29">
        <f>T20</f>
        <v>136.59</v>
      </c>
      <c r="G38" s="43">
        <f>F38*F25</f>
        <v>4234.29</v>
      </c>
      <c r="H38" s="59">
        <f>G20-G38</f>
        <v>265.71000000000004</v>
      </c>
    </row>
    <row r="39" spans="2:8" ht="15.75" thickBot="1" x14ac:dyDescent="0.3">
      <c r="B39" s="35" t="str">
        <f>B22</f>
        <v>Razem</v>
      </c>
      <c r="C39" s="36">
        <f>SUM(C28:C38)</f>
        <v>400.11</v>
      </c>
      <c r="E39" s="35" t="s">
        <v>21</v>
      </c>
      <c r="F39" s="36">
        <f>SUM(F28:F38)</f>
        <v>400</v>
      </c>
      <c r="G39" s="43">
        <f>F38*F25+C38</f>
        <v>4500</v>
      </c>
    </row>
  </sheetData>
  <mergeCells count="20">
    <mergeCell ref="T6:T7"/>
    <mergeCell ref="B19:C19"/>
    <mergeCell ref="M6:M7"/>
    <mergeCell ref="N6:N7"/>
    <mergeCell ref="O6:O7"/>
    <mergeCell ref="P6:P7"/>
    <mergeCell ref="Q6:Q7"/>
    <mergeCell ref="R6:R7"/>
    <mergeCell ref="G6:G7"/>
    <mergeCell ref="H6:H7"/>
    <mergeCell ref="I6:I7"/>
    <mergeCell ref="J6:J7"/>
    <mergeCell ref="K6:K7"/>
    <mergeCell ref="L6:L7"/>
    <mergeCell ref="F6:F7"/>
    <mergeCell ref="B3:C3"/>
    <mergeCell ref="B4:C4"/>
    <mergeCell ref="B6:C6"/>
    <mergeCell ref="D6:D7"/>
    <mergeCell ref="E6:E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Koszty pierwsze</vt:lpstr>
      <vt:lpstr>drobni wierzyciele w pierwszej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Hrycaj</dc:creator>
  <cp:lastModifiedBy>anna hrycaj</cp:lastModifiedBy>
  <dcterms:created xsi:type="dcterms:W3CDTF">2016-09-08T09:37:37Z</dcterms:created>
  <dcterms:modified xsi:type="dcterms:W3CDTF">2016-11-13T12:06:51Z</dcterms:modified>
</cp:coreProperties>
</file>